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PRESUPUESTO 2026\CONSEJO DIRECTIVO 2026\8-AGOSTO 2026\"/>
    </mc:Choice>
  </mc:AlternateContent>
  <xr:revisionPtr revIDLastSave="0" documentId="13_ncr:1_{6AC40BB8-E593-4D78-97BA-87C6DF8375EB}" xr6:coauthVersionLast="36" xr6:coauthVersionMax="36" xr10:uidLastSave="{00000000-0000-0000-0000-000000000000}"/>
  <bookViews>
    <workbookView xWindow="0" yWindow="0" windowWidth="28800" windowHeight="12225" tabRatio="945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5" l="1"/>
  <c r="I7" i="15"/>
  <c r="I8" i="15" l="1"/>
  <c r="B18" i="10" l="1"/>
  <c r="B17" i="6"/>
  <c r="C8" i="15"/>
  <c r="G7" i="1" l="1"/>
  <c r="H7" i="1"/>
  <c r="I5" i="11" l="1"/>
  <c r="H5" i="11"/>
  <c r="G5" i="11" l="1"/>
  <c r="D5" i="11"/>
  <c r="F5" i="11" s="1"/>
  <c r="K5" i="11" l="1"/>
  <c r="I8" i="11" l="1"/>
  <c r="B16" i="6" l="1"/>
  <c r="F7" i="1" l="1"/>
  <c r="B15" i="5" l="1"/>
  <c r="F7" i="4" l="1"/>
  <c r="F6" i="4"/>
  <c r="K6" i="4" s="1"/>
  <c r="F5" i="4"/>
  <c r="M5" i="4" l="1"/>
  <c r="L5" i="4"/>
  <c r="K5" i="4"/>
  <c r="E5" i="1"/>
  <c r="C4" i="16" l="1"/>
  <c r="D4" i="16" s="1"/>
  <c r="B7" i="5" l="1"/>
  <c r="B7" i="1" l="1"/>
  <c r="C7" i="1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D13" i="10" s="1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F8" i="15" s="1"/>
  <c r="D10" i="15"/>
  <c r="F9" i="15"/>
  <c r="F7" i="15"/>
  <c r="E10" i="15" l="1"/>
  <c r="K7" i="4"/>
  <c r="M7" i="4"/>
  <c r="L7" i="4"/>
  <c r="L6" i="4"/>
  <c r="M6" i="4"/>
  <c r="F10" i="15"/>
  <c r="M8" i="4"/>
  <c r="K8" i="4"/>
  <c r="E7" i="1"/>
  <c r="G7" i="15" l="1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D4" i="9" s="1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l="1"/>
  <c r="F4" i="9"/>
  <c r="H11" i="4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C7" i="16" l="1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L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<sst xmlns="http://schemas.openxmlformats.org/spreadsheetml/2006/main" count="283" uniqueCount="131">
  <si>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</si>
  <si>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</si>
  <si>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</si>
  <si>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</si>
  <si>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</si>
  <si>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</si>
  <si>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</si>
  <si>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</si>
  <si>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</si>
  <si>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</si>
  <si>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</si>
  <si>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</si>
  <si>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</si>
  <si>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</si>
  <si>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</si>
  <si>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</si>
  <si>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</si>
  <si>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</si>
  <si>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</si>
  <si>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</si>
  <si>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</si>
  <si>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</si>
  <si>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</si>
  <si>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</si>
  <si>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</si>
  <si>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</si>
  <si>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</si>
  <si>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</si>
  <si>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</si>
  <si>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</si>
  <si>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</si>
  <si>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</si>
  <si>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</si>
  <si>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</si>
  <si>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</si>
  <si>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</si>
  <si>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</si>
  <si>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</si>
  <si>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</si>
  <si>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</si>
  <si>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</si>
  <si>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</si>
  <si>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</si>
  <si>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</si>
  <si>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</si>
  <si>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</si>
  <si>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</si>
  <si>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</si>
  <si>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</si>
  <si>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</si>
  <si>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</si>
  <si>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</si>
  <si>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</si>
  <si>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</si>
  <si>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</si>
  <si>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</si>
  <si>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</si>
  <si>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</si>
  <si>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</si>
  <si>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</si>
  <si>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</si>
  <si>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</si>
  <si>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</si>
  <si>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</si>
  <si>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</si>
  <si>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</si>
  <si>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</si>
  <si>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</si>
  <si>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</si>
  <si>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</si>
  <si>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</si>
  <si>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</si>
  <si>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</si>
  <si>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</si>
  <si>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</si>
  <si>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</si>
  <si>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</si>
  <si>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</si>
  <si>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</si>
  <si>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</si>
  <si>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</si>
  <si>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</si>
  <si>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</si>
  <si>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</si>
  <si>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</si>
  <si>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</si>
  <si>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</si>
  <si>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</si>
  <si>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</si>
  <si>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</si>
  <si>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</si>
  <si>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</si>
  <si>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</si>
  <si>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</si>
  <si>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</si>
  <si>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</si>
  <si>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</si>
  <si>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</si>
  <si>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</si>
  <si>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</si>
  <si>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</si>
  <si>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</si>
  <si>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</si>
  <si>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</si>
  <si>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</si>
  <si>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</si>
  <si>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</si>
  <si>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</si>
  <si>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</si>
  <si>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</si>
  <si>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</si>
  <si>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</si>
  <si>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</si>
  <si>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</si>
  <si>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</si>
  <si>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</si>
  <si>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</si>
  <si>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</si>
  <si>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</si>
  <si>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</si>
  <si>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</si>
  <si>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</si>
  <si>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</si>
  <si>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 xml:space="preserve">Presupuesto Definitivo 2025 (2)
</t>
  </si>
  <si>
    <t>EJECUCIÓN PRESUPUESTAL DE INGRESOS RECURSO PROPIOS
ENERO 2026 - DICIEMBRE 31   2026.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</si>
  <si>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2026
(3)</t>
    </r>
  </si>
  <si>
    <t>CON CORTE A AGOSTO 31  DE 2026</t>
  </si>
  <si>
    <t>EJECUCIÓN PRESUPUESTAL 
GASTOS DE PERSONAL 
CON CORTE A AGOSTO 31  DE 2026</t>
  </si>
  <si>
    <t>EJECUCIÓN PRESUPUESTAL
ADQUISICIÓN BIENES Y SERVICIOS
CON CORTE A AGOSTO 31  DE 2026</t>
  </si>
  <si>
    <t>Ejecución Presupuestal - Proyectos de Inversión
CON CORTE A AGOSTO 31  DE 2026</t>
  </si>
  <si>
    <t>EJECUCIÓN PRESUPUESTAL 
PROYECTOS DE INVERSIÓN
CON CORTE A AGOSTO 31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</si>
</sst>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&quot;$&quot;\ * #,##0_-;\-&quot;$&quot;\ * #,##0_-;_-&quot;$&quot;\ * &quot;-&quot;_-;_-@_-"/>
    <numFmt numFmtId="165" formatCode="_-* #,##0_-;\-* #,##0_-;_-* &quot;-&quot;_-;_-@_-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_(&quot;$&quot;\ * #,##0_);_(&quot;$&quot;\ * \(#,##0\);_(&quot;$&quot;\ * &quot;-&quot;_);_(@_)"/>
    <numFmt numFmtId="169" formatCode="_(* #,##0.00_);_(* \(#,##0.00\);_(* &quot;-&quot;??_);_(@_)"/>
    <numFmt numFmtId="170" formatCode="0.0%"/>
    <numFmt numFmtId="171" formatCode="_-* #,##0_-;\-* #,##0_-;_-* &quot;-&quot;??_-;_-@_-"/>
    <numFmt numFmtId="172" formatCode="_-* #,##0.0_-;\-* #,##0.0_-;_-* &quot;-&quot;??_-;_-@_-"/>
    <numFmt numFmtId="173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9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72" fontId="0" fillId="0" borderId="0" xfId="5" applyNumberFormat="1" applyFont="1"/>
    <xf numFmtId="167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71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71" fontId="0" fillId="0" borderId="5" xfId="0" applyNumberFormat="1" applyBorder="1"/>
    <xf numFmtId="9" fontId="0" fillId="0" borderId="5" xfId="1" applyFont="1" applyBorder="1"/>
    <xf numFmtId="167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71" fontId="0" fillId="0" borderId="13" xfId="0" applyNumberFormat="1" applyBorder="1"/>
    <xf numFmtId="167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71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71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71" fontId="7" fillId="0" borderId="30" xfId="6" applyNumberFormat="1" applyBorder="1">
      <alignment vertical="top"/>
    </xf>
    <xf numFmtId="171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71" fontId="7" fillId="0" borderId="35" xfId="6" applyNumberFormat="1" applyBorder="1">
      <alignment vertical="top"/>
    </xf>
    <xf numFmtId="171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71" fontId="8" fillId="0" borderId="37" xfId="6" applyNumberFormat="1" applyFont="1" applyBorder="1">
      <alignment vertical="top"/>
    </xf>
    <xf numFmtId="171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71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71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71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71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8" fontId="0" fillId="0" borderId="47" xfId="9" applyNumberFormat="1" applyFont="1" applyBorder="1"/>
    <xf numFmtId="168" fontId="0" fillId="0" borderId="48" xfId="9" applyNumberFormat="1" applyFont="1" applyBorder="1"/>
    <xf numFmtId="0" fontId="0" fillId="0" borderId="51" xfId="0" applyBorder="1"/>
    <xf numFmtId="168" fontId="0" fillId="0" borderId="52" xfId="9" applyNumberFormat="1" applyFont="1" applyBorder="1"/>
    <xf numFmtId="168" fontId="0" fillId="0" borderId="53" xfId="9" applyNumberFormat="1" applyFont="1" applyBorder="1"/>
    <xf numFmtId="0" fontId="0" fillId="6" borderId="45" xfId="0" applyFill="1" applyBorder="1"/>
    <xf numFmtId="168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9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70" fontId="6" fillId="2" borderId="2" xfId="1" applyNumberFormat="1" applyFont="1" applyFill="1" applyBorder="1" applyAlignment="1">
      <alignment horizontal="center" vertical="center"/>
    </xf>
    <xf numFmtId="170" fontId="6" fillId="2" borderId="3" xfId="1" applyNumberFormat="1" applyFont="1" applyFill="1" applyBorder="1" applyAlignment="1">
      <alignment horizontal="center" vertical="center"/>
    </xf>
    <xf numFmtId="170" fontId="6" fillId="2" borderId="55" xfId="1" applyNumberFormat="1" applyFont="1" applyFill="1" applyBorder="1" applyAlignment="1">
      <alignment horizontal="center" vertical="center"/>
    </xf>
    <xf numFmtId="169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8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9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9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9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8" fontId="15" fillId="0" borderId="47" xfId="9" applyNumberFormat="1" applyFont="1" applyFill="1" applyBorder="1"/>
    <xf numFmtId="165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9" fontId="13" fillId="0" borderId="4" xfId="9" applyFont="1" applyBorder="1" applyAlignment="1">
      <alignment horizontal="right" vertical="center" wrapText="1"/>
    </xf>
    <xf numFmtId="165" fontId="0" fillId="0" borderId="0" xfId="10" applyFont="1"/>
    <xf numFmtId="165" fontId="0" fillId="0" borderId="0" xfId="0" applyNumberFormat="1"/>
    <xf numFmtId="171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8" fontId="0" fillId="6" borderId="41" xfId="9" applyNumberFormat="1" applyFont="1" applyFill="1" applyBorder="1"/>
    <xf numFmtId="168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8" fontId="0" fillId="0" borderId="5" xfId="9" applyNumberFormat="1" applyFont="1" applyBorder="1"/>
    <xf numFmtId="168" fontId="0" fillId="0" borderId="7" xfId="9" applyNumberFormat="1" applyFont="1" applyBorder="1"/>
    <xf numFmtId="168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71" fontId="0" fillId="0" borderId="5" xfId="0" applyNumberFormat="1" applyFont="1" applyBorder="1"/>
    <xf numFmtId="167" fontId="0" fillId="0" borderId="0" xfId="0" applyNumberFormat="1" applyFill="1" applyBorder="1"/>
    <xf numFmtId="165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164" fontId="0" fillId="0" borderId="5" xfId="11" applyFont="1" applyBorder="1"/>
    <xf numFmtId="164" fontId="0" fillId="0" borderId="52" xfId="11" applyFont="1" applyBorder="1"/>
    <xf numFmtId="164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0" fontId="0" fillId="0" borderId="0" xfId="0" applyBorder="1"/>
    <xf numFmtId="9" fontId="0" fillId="0" borderId="0" xfId="1" applyFont="1"/>
    <xf numFmtId="166" fontId="0" fillId="0" borderId="0" xfId="12" applyFont="1"/>
    <xf numFmtId="166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9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7" fontId="0" fillId="0" borderId="0" xfId="0" applyNumberFormat="1"/>
    <xf numFmtId="168" fontId="15" fillId="0" borderId="47" xfId="9" applyNumberFormat="1" applyFont="1" applyBorder="1"/>
    <xf numFmtId="169" fontId="15" fillId="0" borderId="1" xfId="9" applyFont="1" applyBorder="1" applyAlignment="1">
      <alignment horizontal="right" vertical="center" wrapText="1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71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219366676387674"/>
          <c:y val="1.7486338797814208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820000000</c:v>
                </c:pt>
                <c:pt idx="1">
                  <c:v>16347079672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4.7765841113759352E-2</c:v>
                </c:pt>
                <c:pt idx="1">
                  <c:v>0.95223415888624063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AGOSTO 31 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8.4605011041768204E-4</c:v>
                </c:pt>
                <c:pt idx="1">
                  <c:v>1.9018303163556752E-2</c:v>
                </c:pt>
                <c:pt idx="2">
                  <c:v>3.6803334307911731E-2</c:v>
                </c:pt>
                <c:pt idx="3">
                  <c:v>5.9116455543568522E-2</c:v>
                </c:pt>
                <c:pt idx="4">
                  <c:v>8.2312055300080456E-2</c:v>
                </c:pt>
                <c:pt idx="5">
                  <c:v>0.1041282573829939</c:v>
                </c:pt>
                <c:pt idx="6">
                  <c:v>0.12977243953824039</c:v>
                </c:pt>
                <c:pt idx="7">
                  <c:v>0.1611272521071814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AGOSTO 31 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_-* #.##0_-;\-* #.##0_-;_-* "-"_-;_-@_-</c:formatCode>
                <c:ptCount val="12"/>
                <c:pt idx="0">
                  <c:v>741886612</c:v>
                </c:pt>
                <c:pt idx="1">
                  <c:v>1483773224</c:v>
                </c:pt>
                <c:pt idx="2">
                  <c:v>2225659836</c:v>
                </c:pt>
                <c:pt idx="3">
                  <c:v>2967546448</c:v>
                </c:pt>
                <c:pt idx="4">
                  <c:v>3709433060</c:v>
                </c:pt>
                <c:pt idx="5">
                  <c:v>4451319672</c:v>
                </c:pt>
                <c:pt idx="6">
                  <c:v>5193206284</c:v>
                </c:pt>
                <c:pt idx="7">
                  <c:v>5935092896</c:v>
                </c:pt>
                <c:pt idx="8">
                  <c:v>6676979508</c:v>
                </c:pt>
                <c:pt idx="9">
                  <c:v>7418866120</c:v>
                </c:pt>
                <c:pt idx="10">
                  <c:v>8160752732</c:v>
                </c:pt>
                <c:pt idx="11">
                  <c:v>8902639344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_-* #.##0.00_-;\-* #.##0.00_-;_-* "-"??_-;_-@_-</c:formatCode>
                <c:ptCount val="12"/>
                <c:pt idx="0">
                  <c:v>7532079</c:v>
                </c:pt>
                <c:pt idx="1">
                  <c:v>169313094</c:v>
                </c:pt>
                <c:pt idx="2">
                  <c:v>327646812</c:v>
                </c:pt>
                <c:pt idx="3">
                  <c:v>526292483</c:v>
                </c:pt>
                <c:pt idx="4">
                  <c:v>732794542</c:v>
                </c:pt>
                <c:pt idx="5">
                  <c:v>927016321</c:v>
                </c:pt>
                <c:pt idx="6">
                  <c:v>1155317226</c:v>
                </c:pt>
                <c:pt idx="7">
                  <c:v>1434457814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.00_-;\-* #.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AGOSTO 31  DE 2026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7497768303</c:v>
                </c:pt>
                <c:pt idx="1">
                  <c:v>7497768303</c:v>
                </c:pt>
                <c:pt idx="2">
                  <c:v>4727565783</c:v>
                </c:pt>
                <c:pt idx="3" formatCode="0.00%">
                  <c:v>0.6305297245726319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cap="all" baseline="0">
                <a:effectLst/>
              </a:rPr>
              <a:t>CON CORTE A AGOSTO 31  DE 2026</a:t>
            </a:r>
            <a:endParaRPr lang="es-CO">
              <a:effectLst/>
            </a:endParaRP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8.3333333299990084E-2</c:v>
                </c:pt>
                <c:pt idx="1">
                  <c:v>0.16666666659998017</c:v>
                </c:pt>
                <c:pt idx="2">
                  <c:v>0.24999999989997024</c:v>
                </c:pt>
                <c:pt idx="3">
                  <c:v>0.33333333319996034</c:v>
                </c:pt>
                <c:pt idx="4">
                  <c:v>0.41666666649995038</c:v>
                </c:pt>
                <c:pt idx="5">
                  <c:v>0.49999999979994048</c:v>
                </c:pt>
                <c:pt idx="6">
                  <c:v>0.58333333309993052</c:v>
                </c:pt>
                <c:pt idx="7">
                  <c:v>0.66666666639992067</c:v>
                </c:pt>
                <c:pt idx="8">
                  <c:v>0.74999999969991071</c:v>
                </c:pt>
                <c:pt idx="9">
                  <c:v>0.83333333299990076</c:v>
                </c:pt>
                <c:pt idx="10">
                  <c:v>0.91666666629989091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3.900194033509867E-2</c:v>
                </c:pt>
                <c:pt idx="2">
                  <c:v>0.12255209148465467</c:v>
                </c:pt>
                <c:pt idx="3">
                  <c:v>0.18801238115559837</c:v>
                </c:pt>
                <c:pt idx="4">
                  <c:v>0.33332090616884458</c:v>
                </c:pt>
                <c:pt idx="5">
                  <c:v>0.41452506311196957</c:v>
                </c:pt>
                <c:pt idx="6">
                  <c:v>0.57146660484101652</c:v>
                </c:pt>
                <c:pt idx="7">
                  <c:v>0.6305297245726319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7497768303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6137896886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4727565783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4727565783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AGOSTO 31  DE 2026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0.81862984263518923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0.6305297245726319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0.6305297245726319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1360809356</c:v>
                </c:pt>
                <c:pt idx="1">
                  <c:v>9172760344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7.9268540835138027E-2</c:v>
                </c:pt>
                <c:pt idx="1">
                  <c:v>0.53432269898304463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  <c:pt idx="3">
                  <c:v>820000000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Recaudos Acumulados (PERIODO) 2026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1360809356</c:v>
                </c:pt>
                <c:pt idx="1">
                  <c:v>0</c:v>
                </c:pt>
                <c:pt idx="2">
                  <c:v>0</c:v>
                </c:pt>
                <c:pt idx="3">
                  <c:v>1360809356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1.6595236048780488</c:v>
                </c:pt>
                <c:pt idx="1">
                  <c:v>0</c:v>
                </c:pt>
                <c:pt idx="2">
                  <c:v>0</c:v>
                </c:pt>
                <c:pt idx="3" formatCode="0.00%">
                  <c:v>1.6595236048780488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2026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1360809356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1.6595236048780488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AGOSTO 31 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9669311369</c:v>
                </c:pt>
                <c:pt idx="1">
                  <c:v>10165628213</c:v>
                </c:pt>
                <c:pt idx="2">
                  <c:v>3587067225</c:v>
                </c:pt>
                <c:pt idx="3">
                  <c:v>16247872357</c:v>
                </c:pt>
                <c:pt idx="4">
                  <c:v>6690006283</c:v>
                </c:pt>
                <c:pt idx="5">
                  <c:v>4842145283</c:v>
                </c:pt>
                <c:pt idx="6">
                  <c:v>4842145283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6137896886</c:v>
                </c:pt>
                <c:pt idx="5">
                  <c:v>4727565783</c:v>
                </c:pt>
                <c:pt idx="6">
                  <c:v>4727565783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AGOSTO 31 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4767558000</c:v>
                </c:pt>
                <c:pt idx="1">
                  <c:v>1462325841</c:v>
                </c:pt>
                <c:pt idx="2">
                  <c:v>102000000</c:v>
                </c:pt>
                <c:pt idx="3">
                  <c:v>6127883841</c:v>
                </c:pt>
                <c:pt idx="4">
                  <c:v>3287031809</c:v>
                </c:pt>
                <c:pt idx="5">
                  <c:v>3274616410</c:v>
                </c:pt>
                <c:pt idx="6">
                  <c:v>3274616410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1266159144</c:v>
                </c:pt>
                <c:pt idx="1">
                  <c:v>7641480200</c:v>
                </c:pt>
                <c:pt idx="2">
                  <c:v>5000000</c:v>
                </c:pt>
                <c:pt idx="3">
                  <c:v>8902639344</c:v>
                </c:pt>
                <c:pt idx="4">
                  <c:v>3234909214</c:v>
                </c:pt>
                <c:pt idx="5">
                  <c:v>1434457814</c:v>
                </c:pt>
                <c:pt idx="6">
                  <c:v>1434457814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3635594225</c:v>
                </c:pt>
                <c:pt idx="1">
                  <c:v>1061822172</c:v>
                </c:pt>
                <c:pt idx="2">
                  <c:v>3480067225</c:v>
                </c:pt>
                <c:pt idx="3">
                  <c:v>1217349172</c:v>
                </c:pt>
                <c:pt idx="4">
                  <c:v>168065559</c:v>
                </c:pt>
                <c:pt idx="5">
                  <c:v>133071059</c:v>
                </c:pt>
                <c:pt idx="6">
                  <c:v>133071059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6137896886</c:v>
                </c:pt>
                <c:pt idx="5">
                  <c:v>4727565783</c:v>
                </c:pt>
                <c:pt idx="6">
                  <c:v>4727565783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AGOSTO 31  DE 2026</c:v>
            </c:pt>
          </c:strCache>
        </c:strRef>
      </c:tx>
      <c:layout>
        <c:manualLayout>
          <c:xMode val="edge"/>
          <c:yMode val="edge"/>
          <c:x val="0.2674286731857633"/>
          <c:y val="2.7366017248491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8.3333331742245734E-2</c:v>
                </c:pt>
                <c:pt idx="1">
                  <c:v>0.16666666348449147</c:v>
                </c:pt>
                <c:pt idx="2">
                  <c:v>0.24999999522673719</c:v>
                </c:pt>
                <c:pt idx="3">
                  <c:v>0.33333332696898293</c:v>
                </c:pt>
                <c:pt idx="4">
                  <c:v>0.41666665871122865</c:v>
                </c:pt>
                <c:pt idx="5">
                  <c:v>0.49999999045347437</c:v>
                </c:pt>
                <c:pt idx="6">
                  <c:v>0.58333332219572009</c:v>
                </c:pt>
                <c:pt idx="7">
                  <c:v>0.66666665393796587</c:v>
                </c:pt>
                <c:pt idx="8">
                  <c:v>0.74999998568021164</c:v>
                </c:pt>
                <c:pt idx="9">
                  <c:v>0.83333331742245731</c:v>
                </c:pt>
                <c:pt idx="10">
                  <c:v>0.91666664916470308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2.9141520079933252E-2</c:v>
                </c:pt>
                <c:pt idx="1">
                  <c:v>0.10082049334329084</c:v>
                </c:pt>
                <c:pt idx="2">
                  <c:v>0.14678061160069564</c:v>
                </c:pt>
                <c:pt idx="3">
                  <c:v>0.26807203279687625</c:v>
                </c:pt>
                <c:pt idx="4">
                  <c:v>0.34925290565735451</c:v>
                </c:pt>
                <c:pt idx="5">
                  <c:v>0.4081228511981515</c:v>
                </c:pt>
                <c:pt idx="6">
                  <c:v>0.48682777487393958</c:v>
                </c:pt>
                <c:pt idx="7">
                  <c:v>0.53437964801004134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AGOSTO 31 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510656977</c:v>
                </c:pt>
                <c:pt idx="1">
                  <c:v>1021313954</c:v>
                </c:pt>
                <c:pt idx="2">
                  <c:v>1531970931</c:v>
                </c:pt>
                <c:pt idx="3">
                  <c:v>2042627908</c:v>
                </c:pt>
                <c:pt idx="4">
                  <c:v>2553284885</c:v>
                </c:pt>
                <c:pt idx="5">
                  <c:v>3063941862</c:v>
                </c:pt>
                <c:pt idx="6">
                  <c:v>3574598839</c:v>
                </c:pt>
                <c:pt idx="7">
                  <c:v>4085255816</c:v>
                </c:pt>
                <c:pt idx="8">
                  <c:v>4595912793</c:v>
                </c:pt>
                <c:pt idx="9">
                  <c:v>5106569770</c:v>
                </c:pt>
                <c:pt idx="10">
                  <c:v>5617226747</c:v>
                </c:pt>
                <c:pt idx="11">
                  <c:v>6127883841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617816272</c:v>
                </c:pt>
                <c:pt idx="2">
                  <c:v>899454538</c:v>
                </c:pt>
                <c:pt idx="3">
                  <c:v>1642714278</c:v>
                </c:pt>
                <c:pt idx="4">
                  <c:v>2140181237</c:v>
                </c:pt>
                <c:pt idx="5">
                  <c:v>2500929425</c:v>
                </c:pt>
                <c:pt idx="6">
                  <c:v>2983224055</c:v>
                </c:pt>
                <c:pt idx="7">
                  <c:v>3274616410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61912</xdr:rowOff>
    </xdr:from>
    <xdr:to>
      <xdr:col>7</xdr:col>
      <xdr:colOff>361950</xdr:colOff>
      <xdr:row>29</xdr:row>
      <xdr:rowOff>52387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70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73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71"/>
    <dataField name="Suma de COMPROMETIDO" fld="8" baseField="0" baseItem="0" numFmtId="171"/>
    <dataField name="Suma de OBLIGACIÓN" fld="9" baseField="0" baseItem="0" numFmtId="171"/>
    <dataField name="Suma de TOTAL PAGO" fld="18" baseField="0" baseItem="0" numFmtId="171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tabSelected="1"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4" t="s">
        <v>101</v>
      </c>
      <c r="C3" s="255"/>
      <c r="D3" s="255"/>
      <c r="E3" s="255"/>
      <c r="F3" s="255"/>
      <c r="G3" s="255"/>
      <c r="H3" s="255"/>
      <c r="I3" s="256"/>
    </row>
    <row r="4" spans="2:14" ht="13.5" customHeight="1" thickBot="1" x14ac:dyDescent="0.25">
      <c r="B4" s="251" t="s">
        <v>126</v>
      </c>
      <c r="C4" s="252"/>
      <c r="D4" s="252"/>
      <c r="E4" s="252"/>
      <c r="F4" s="252"/>
      <c r="G4" s="252"/>
      <c r="H4" s="252"/>
      <c r="I4" s="253"/>
      <c r="J4" s="248"/>
    </row>
    <row r="5" spans="2:14" ht="13.5" thickBot="1" x14ac:dyDescent="0.25"/>
    <row r="6" spans="2:14" ht="51.75" thickBot="1" x14ac:dyDescent="0.25">
      <c r="B6" s="138" t="s">
        <v>90</v>
      </c>
      <c r="C6" s="206" t="s">
        <v>115</v>
      </c>
      <c r="D6" s="220" t="s">
        <v>118</v>
      </c>
      <c r="E6" s="220" t="s">
        <v>117</v>
      </c>
      <c r="F6" s="207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820000000</v>
      </c>
      <c r="D7" s="221">
        <v>0</v>
      </c>
      <c r="E7" s="222">
        <v>0</v>
      </c>
      <c r="F7" s="142">
        <f>C7+D7-E7</f>
        <v>820000000</v>
      </c>
      <c r="G7" s="31">
        <f>F7/F10</f>
        <v>4.7765841113759352E-2</v>
      </c>
      <c r="H7" s="249">
        <v>1360809356</v>
      </c>
      <c r="I7" s="177">
        <f>H7/F10</f>
        <v>7.9268540835138027E-2</v>
      </c>
      <c r="K7" s="163"/>
      <c r="M7" s="154"/>
    </row>
    <row r="8" spans="2:14" ht="13.5" customHeight="1" thickBot="1" x14ac:dyDescent="0.25">
      <c r="B8" s="137" t="s">
        <v>105</v>
      </c>
      <c r="C8" s="143">
        <f>17167079672-C7</f>
        <v>16347079672</v>
      </c>
      <c r="D8" s="202">
        <v>0</v>
      </c>
      <c r="E8" s="222">
        <v>0</v>
      </c>
      <c r="F8" s="142">
        <f>C8+D8-E8</f>
        <v>16347079672</v>
      </c>
      <c r="G8" s="31">
        <f>F8/F10</f>
        <v>0.95223415888624063</v>
      </c>
      <c r="H8" s="189">
        <v>9172760344</v>
      </c>
      <c r="I8" s="179">
        <f>H8/F10</f>
        <v>0.53432269898304463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3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0">
        <f>+C7+C8+C9</f>
        <v>17167079672</v>
      </c>
      <c r="D10" s="200">
        <f>SUM(D7:D9)</f>
        <v>0</v>
      </c>
      <c r="E10" s="224">
        <f>SUM(E7:E9)</f>
        <v>0</v>
      </c>
      <c r="F10" s="200">
        <f>+F7+F8+F9</f>
        <v>17167079672</v>
      </c>
      <c r="G10" s="149">
        <f>SUM(G7:G9)</f>
        <v>1</v>
      </c>
      <c r="H10" s="148">
        <f>SUM(H7:H9)</f>
        <v>10533569700</v>
      </c>
      <c r="I10" s="178">
        <f>SUM(I7:I9)</f>
        <v>0.61359123981818264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1"/>
      <c r="E32" s="201"/>
      <c r="F32" s="201"/>
      <c r="G32" s="141" t="s">
        <v>96</v>
      </c>
    </row>
    <row r="33" spans="2:15" x14ac:dyDescent="0.2">
      <c r="B33" s="136" t="s">
        <v>92</v>
      </c>
      <c r="C33" s="142">
        <f>+H7</f>
        <v>1360809356</v>
      </c>
      <c r="D33" s="202"/>
      <c r="E33" s="202"/>
      <c r="F33" s="202"/>
      <c r="G33" s="177">
        <f>C33/C10</f>
        <v>7.9268540835138027E-2</v>
      </c>
    </row>
    <row r="34" spans="2:15" ht="13.5" thickBot="1" x14ac:dyDescent="0.25">
      <c r="B34" s="137" t="s">
        <v>93</v>
      </c>
      <c r="C34" s="142">
        <f>+H8</f>
        <v>9172760344</v>
      </c>
      <c r="D34" s="202"/>
      <c r="E34" s="202"/>
      <c r="F34" s="202"/>
      <c r="G34" s="179">
        <f>C34/C10</f>
        <v>0.53432269898304463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3"/>
      <c r="E35" s="203"/>
      <c r="F35" s="203"/>
      <c r="G35" s="180">
        <f>C35/C10</f>
        <v>0</v>
      </c>
    </row>
    <row r="36" spans="2:15" ht="13.5" thickBot="1" x14ac:dyDescent="0.25">
      <c r="B36" s="147" t="s">
        <v>89</v>
      </c>
      <c r="C36" s="199">
        <f>SUM(C33:C35)</f>
        <v>10533569700</v>
      </c>
      <c r="D36" s="204"/>
      <c r="E36" s="204"/>
      <c r="F36" s="204"/>
      <c r="G36" s="205">
        <f>SUM(G33:G35)</f>
        <v>0.61359123981818264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80" t="s">
        <v>129</v>
      </c>
      <c r="C2" s="281"/>
      <c r="D2" s="281"/>
      <c r="E2" s="281"/>
      <c r="F2" s="282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7497768303</v>
      </c>
      <c r="D4" s="53">
        <f>C4</f>
        <v>7497768303</v>
      </c>
      <c r="E4" s="53">
        <v>4727565783</v>
      </c>
      <c r="F4" s="186">
        <f>E4/D4</f>
        <v>0.6305297245726319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5" sqref="C15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7" t="s">
        <v>130</v>
      </c>
      <c r="B5" s="278"/>
      <c r="C5" s="278"/>
      <c r="D5" s="278"/>
      <c r="E5" s="279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624814025</v>
      </c>
      <c r="C7" s="47">
        <v>0</v>
      </c>
      <c r="D7" s="48">
        <f>+B7/$B$18</f>
        <v>8.3333333299990084E-2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1249628050</v>
      </c>
      <c r="C8" s="47">
        <v>292427512</v>
      </c>
      <c r="D8" s="48">
        <f>+B8/$B$18</f>
        <v>0.16666666659998017</v>
      </c>
      <c r="E8" s="187">
        <f t="shared" ref="D8:E18" si="0">+C8/$B$18</f>
        <v>3.900194033509867E-2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1874442075</v>
      </c>
      <c r="C9" s="47">
        <v>918867187</v>
      </c>
      <c r="D9" s="48">
        <f t="shared" si="0"/>
        <v>0.24999999989997024</v>
      </c>
      <c r="E9" s="187">
        <f t="shared" si="0"/>
        <v>0.12255209148465467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2499256100</v>
      </c>
      <c r="C10" s="47">
        <v>1409673272</v>
      </c>
      <c r="D10" s="48">
        <f t="shared" si="0"/>
        <v>0.33333333319996034</v>
      </c>
      <c r="E10" s="187">
        <f t="shared" si="0"/>
        <v>0.18801238115559837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3124070125</v>
      </c>
      <c r="C11" s="47">
        <v>2499162925</v>
      </c>
      <c r="D11" s="48">
        <f t="shared" si="0"/>
        <v>0.41666666649995038</v>
      </c>
      <c r="E11" s="187">
        <f t="shared" si="0"/>
        <v>0.33332090616884458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3748884150</v>
      </c>
      <c r="C12" s="47">
        <v>3108012879</v>
      </c>
      <c r="D12" s="48">
        <f t="shared" si="0"/>
        <v>0.49999999979994048</v>
      </c>
      <c r="E12" s="187">
        <f t="shared" si="0"/>
        <v>0.41452506311196957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4373698175</v>
      </c>
      <c r="C13" s="47">
        <v>4284724196</v>
      </c>
      <c r="D13" s="48">
        <f>+B13/$B$18</f>
        <v>0.58333333309993052</v>
      </c>
      <c r="E13" s="187">
        <f t="shared" si="0"/>
        <v>0.57146660484101652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4998512200</v>
      </c>
      <c r="C14" s="47">
        <v>4727565783</v>
      </c>
      <c r="D14" s="48">
        <f t="shared" si="0"/>
        <v>0.66666666639992067</v>
      </c>
      <c r="E14" s="187">
        <f t="shared" si="0"/>
        <v>0.6305297245726319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5623326225</v>
      </c>
      <c r="C15" s="47">
        <v>0</v>
      </c>
      <c r="D15" s="48">
        <f>+B15/$B$18</f>
        <v>0.74999999969991071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6248140250</v>
      </c>
      <c r="C16" s="47">
        <v>0</v>
      </c>
      <c r="D16" s="48">
        <f>+B16/$B$18</f>
        <v>0.83333333299990076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6872954275</v>
      </c>
      <c r="C17" s="47">
        <v>0</v>
      </c>
      <c r="D17" s="48">
        <f>+B17/$B$18</f>
        <v>0.91666666629989091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7">
        <f>+$B$7*12+3</f>
        <v>7497768303</v>
      </c>
      <c r="C18" s="218">
        <v>0</v>
      </c>
      <c r="D18" s="56">
        <f>+B18/$B$18</f>
        <v>1</v>
      </c>
      <c r="E18" s="219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zoomScale="95" zoomScaleNormal="95" workbookViewId="0">
      <selection activeCell="C4" sqref="C4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7"/>
      <c r="C2" s="283" t="s">
        <v>42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2:13" ht="26.25" customHeight="1" thickBot="1" x14ac:dyDescent="0.25">
      <c r="B3" s="247"/>
      <c r="C3" s="284" t="s">
        <v>126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2:13" ht="86.25" customHeight="1" thickBot="1" x14ac:dyDescent="0.25">
      <c r="B4" s="244" t="s">
        <v>110</v>
      </c>
      <c r="C4" s="245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1" t="s">
        <v>122</v>
      </c>
      <c r="C5" s="246" t="s">
        <v>121</v>
      </c>
      <c r="D5" s="150">
        <f>'EJE DE FUNCIONAMIENTO E INVERSI'!B6</f>
        <v>7497768303</v>
      </c>
      <c r="E5" s="150">
        <v>0</v>
      </c>
      <c r="F5" s="150">
        <f>D5+E5</f>
        <v>7497768303</v>
      </c>
      <c r="G5" s="40">
        <f>'EJE DE FUNCIONAMIENTO E INVERSI'!F6</f>
        <v>6137896886</v>
      </c>
      <c r="H5" s="40">
        <f>'EJE DE FUNCIONAMIENTO E INVERSI'!G6</f>
        <v>4727565783</v>
      </c>
      <c r="I5" s="40">
        <f>'EJE DE FUNCIONAMIENTO E INVERSI'!H6</f>
        <v>4727565783</v>
      </c>
      <c r="J5" s="156">
        <v>1</v>
      </c>
      <c r="K5" s="156">
        <f>G5/F5</f>
        <v>0.81862984263518923</v>
      </c>
      <c r="L5" s="157">
        <f>H5/F5</f>
        <v>0.6305297245726319</v>
      </c>
      <c r="M5" s="157">
        <f>I5/F5</f>
        <v>0.6305297245726319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7497768303</v>
      </c>
      <c r="E8" s="150">
        <v>0</v>
      </c>
      <c r="F8" s="150">
        <f>SUM(F5:F7)</f>
        <v>7497768303</v>
      </c>
      <c r="G8" s="150">
        <f>+SUM(G5:G7)</f>
        <v>6137896886</v>
      </c>
      <c r="H8" s="175">
        <f>+SUM(H5:H7)</f>
        <v>4727565783</v>
      </c>
      <c r="I8" s="175">
        <f>+SUM(I5:I7)</f>
        <v>4727565783</v>
      </c>
      <c r="J8" s="158">
        <v>1</v>
      </c>
      <c r="K8" s="156">
        <f>G8/F8</f>
        <v>0.81862984263518923</v>
      </c>
      <c r="L8" s="157">
        <f>H8/F8</f>
        <v>0.6305297245726319</v>
      </c>
      <c r="M8" s="157">
        <f>I8/F8</f>
        <v>0.6305297245726319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6" t="s">
        <v>60</v>
      </c>
      <c r="B16" s="287"/>
      <c r="C16" s="287"/>
      <c r="D16" s="287"/>
      <c r="E16" s="287"/>
      <c r="F16" s="288"/>
    </row>
    <row r="17" spans="1:6" ht="25.5" customHeight="1" thickBot="1" x14ac:dyDescent="0.25">
      <c r="A17" s="289"/>
      <c r="B17" s="290"/>
      <c r="C17" s="290"/>
      <c r="D17" s="290"/>
      <c r="E17" s="290"/>
      <c r="F17" s="29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2" t="str">
        <f>+A16</f>
        <v>EJECUCIÓN PRESUPUESTAL
RESERVAS PRESUPUESTALES
A AGOSTO 31 DE 2015</v>
      </c>
      <c r="B31" s="293"/>
      <c r="C31" s="293"/>
      <c r="D31" s="293"/>
      <c r="E31" s="29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7" t="s">
        <v>88</v>
      </c>
      <c r="B2" s="258"/>
      <c r="C2" s="258"/>
      <c r="D2" s="258"/>
      <c r="E2" s="258"/>
      <c r="F2" s="258"/>
      <c r="G2" s="259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5" t="s">
        <v>65</v>
      </c>
      <c r="B19" s="296"/>
      <c r="C19" s="29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60" t="s">
        <v>65</v>
      </c>
      <c r="B28" s="298"/>
      <c r="C28" s="298"/>
      <c r="D28" s="261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28" sqref="C28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7" t="s">
        <v>124</v>
      </c>
      <c r="B2" s="258"/>
      <c r="C2" s="258"/>
      <c r="D2" s="259"/>
    </row>
    <row r="3" spans="1:6" s="113" customFormat="1" ht="39" thickBot="1" x14ac:dyDescent="0.25">
      <c r="A3" s="110" t="s">
        <v>106</v>
      </c>
      <c r="B3" s="111" t="s">
        <v>123</v>
      </c>
      <c r="C3" s="112" t="s">
        <v>125</v>
      </c>
      <c r="D3" s="111" t="s">
        <v>107</v>
      </c>
    </row>
    <row r="4" spans="1:6" ht="13.5" thickBot="1" x14ac:dyDescent="0.25">
      <c r="A4" s="114" t="s">
        <v>75</v>
      </c>
      <c r="B4" s="250">
        <v>820000000</v>
      </c>
      <c r="C4" s="159">
        <f>'EJE INGRESOS'!H7</f>
        <v>1360809356</v>
      </c>
      <c r="D4" s="160">
        <f>C4/B4</f>
        <v>1.6595236048780488</v>
      </c>
      <c r="E4" s="117"/>
      <c r="F4" s="170"/>
    </row>
    <row r="5" spans="1:6" ht="13.5" thickBot="1" x14ac:dyDescent="0.25">
      <c r="A5" s="114" t="s">
        <v>76</v>
      </c>
      <c r="B5" s="193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0</v>
      </c>
      <c r="C6" s="166">
        <v>0</v>
      </c>
      <c r="D6" s="160">
        <v>0</v>
      </c>
      <c r="E6" s="113"/>
    </row>
    <row r="7" spans="1:6" ht="13.5" thickBot="1" x14ac:dyDescent="0.25">
      <c r="A7" s="167" t="s">
        <v>87</v>
      </c>
      <c r="B7" s="168">
        <f>SUM(B4:B6)</f>
        <v>820000000</v>
      </c>
      <c r="C7" s="169">
        <f>SUM(C4:C6)</f>
        <v>1360809356</v>
      </c>
      <c r="D7" s="184">
        <f>C7/B7</f>
        <v>1.6595236048780488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60" t="s">
        <v>108</v>
      </c>
      <c r="B10" s="261"/>
      <c r="C10" s="171"/>
    </row>
    <row r="11" spans="1:6" ht="12.75" customHeight="1" x14ac:dyDescent="0.2">
      <c r="A11" s="125" t="s">
        <v>66</v>
      </c>
      <c r="B11" s="161">
        <v>2026</v>
      </c>
      <c r="C11" s="172"/>
    </row>
    <row r="12" spans="1:6" x14ac:dyDescent="0.2">
      <c r="A12" s="99" t="s">
        <v>69</v>
      </c>
      <c r="B12" s="101">
        <f>B7</f>
        <v>820000000</v>
      </c>
      <c r="C12" s="173"/>
    </row>
    <row r="13" spans="1:6" x14ac:dyDescent="0.2">
      <c r="A13" s="162" t="s">
        <v>109</v>
      </c>
      <c r="B13" s="101">
        <f>C7</f>
        <v>1360809356</v>
      </c>
      <c r="C13" s="173"/>
    </row>
    <row r="14" spans="1:6" ht="13.5" thickBot="1" x14ac:dyDescent="0.25">
      <c r="A14" s="102" t="s">
        <v>71</v>
      </c>
      <c r="B14" s="185">
        <f>+B13/B12</f>
        <v>1.6595236048780488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F6" sqref="F6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2" t="s">
        <v>104</v>
      </c>
      <c r="B2" s="263"/>
      <c r="C2" s="263"/>
      <c r="D2" s="263"/>
      <c r="E2" s="263"/>
      <c r="F2" s="263"/>
      <c r="G2" s="263"/>
      <c r="H2" s="264"/>
      <c r="I2" s="14"/>
      <c r="J2" s="265" t="s">
        <v>102</v>
      </c>
      <c r="K2" s="265"/>
      <c r="L2" s="265"/>
    </row>
    <row r="3" spans="1:16" ht="13.5" customHeight="1" thickBot="1" x14ac:dyDescent="0.25">
      <c r="A3" s="251" t="s">
        <v>126</v>
      </c>
      <c r="B3" s="252"/>
      <c r="C3" s="252"/>
      <c r="D3" s="252"/>
      <c r="E3" s="252"/>
      <c r="F3" s="252"/>
      <c r="G3" s="252"/>
      <c r="H3" s="253"/>
      <c r="I3" s="14"/>
      <c r="J3" s="266"/>
      <c r="K3" s="266"/>
      <c r="L3" s="266"/>
    </row>
    <row r="4" spans="1:16" ht="93.75" customHeight="1" thickBot="1" x14ac:dyDescent="0.25">
      <c r="A4" s="1" t="s">
        <v>20</v>
      </c>
      <c r="B4" s="2" t="s">
        <v>113</v>
      </c>
      <c r="C4" s="212" t="s">
        <v>119</v>
      </c>
      <c r="D4" s="242" t="s">
        <v>120</v>
      </c>
      <c r="E4" s="228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4"/>
    </row>
    <row r="5" spans="1:16" ht="15" customHeight="1" thickBot="1" x14ac:dyDescent="0.25">
      <c r="A5" s="4" t="s">
        <v>25</v>
      </c>
      <c r="B5" s="5">
        <v>9669311369</v>
      </c>
      <c r="C5" s="5">
        <v>10165628213</v>
      </c>
      <c r="D5" s="5">
        <v>3587067225</v>
      </c>
      <c r="E5" s="230">
        <f>B5+C5-D5</f>
        <v>16247872357</v>
      </c>
      <c r="F5" s="5">
        <v>6690006283</v>
      </c>
      <c r="G5" s="5">
        <v>4842145283</v>
      </c>
      <c r="H5" s="5">
        <v>4842145283</v>
      </c>
      <c r="J5" s="208">
        <f>F5/E5</f>
        <v>0.41174660509428324</v>
      </c>
      <c r="K5" s="209">
        <f>G5/E5</f>
        <v>0.29801719121173914</v>
      </c>
      <c r="L5" s="210">
        <f>H5/E5</f>
        <v>0.29801719121173914</v>
      </c>
      <c r="M5" s="45"/>
      <c r="N5" s="238"/>
      <c r="O5" s="239"/>
      <c r="P5" s="239"/>
    </row>
    <row r="6" spans="1:16" ht="13.5" thickBot="1" x14ac:dyDescent="0.25">
      <c r="A6" s="6" t="s">
        <v>27</v>
      </c>
      <c r="B6" s="7">
        <v>7497768303</v>
      </c>
      <c r="C6" s="7">
        <v>0</v>
      </c>
      <c r="D6" s="7">
        <v>0</v>
      </c>
      <c r="E6" s="230">
        <f>B6+C6-D6</f>
        <v>7497768303</v>
      </c>
      <c r="F6" s="7">
        <v>6137896886</v>
      </c>
      <c r="G6" s="227">
        <v>4727565783</v>
      </c>
      <c r="H6" s="7">
        <v>4727565783</v>
      </c>
      <c r="J6" s="208">
        <f>F6/E6</f>
        <v>0.81862984263518923</v>
      </c>
      <c r="K6" s="209">
        <f>G6/E6</f>
        <v>0.6305297245726319</v>
      </c>
      <c r="L6" s="210">
        <f>H6/E6</f>
        <v>0.6305297245726319</v>
      </c>
      <c r="M6" s="45"/>
      <c r="N6" s="233"/>
      <c r="O6" s="239"/>
      <c r="P6" s="233"/>
    </row>
    <row r="7" spans="1:16" ht="13.5" thickBot="1" x14ac:dyDescent="0.25">
      <c r="A7" s="8" t="s">
        <v>89</v>
      </c>
      <c r="B7" s="197">
        <f>+SUM(B5:B6)</f>
        <v>17167079672</v>
      </c>
      <c r="C7" s="197">
        <f>+SUM(C5:C6)</f>
        <v>10165628213</v>
      </c>
      <c r="D7" s="225">
        <f>D5+D6</f>
        <v>3587067225</v>
      </c>
      <c r="E7" s="243">
        <f>SUM(E5:E6)</f>
        <v>23745640660</v>
      </c>
      <c r="F7" s="198">
        <f>+SUM(F5:F6)</f>
        <v>12827903169</v>
      </c>
      <c r="G7" s="198">
        <f t="shared" ref="G7:H7" si="0">+SUM(G5:G6)</f>
        <v>9569711066</v>
      </c>
      <c r="H7" s="198">
        <f t="shared" si="0"/>
        <v>9569711066</v>
      </c>
      <c r="J7" s="181">
        <f>F7/E7</f>
        <v>0.54022139695766791</v>
      </c>
      <c r="K7" s="182">
        <f>G7/B7</f>
        <v>0.55744548571114716</v>
      </c>
      <c r="L7" s="183">
        <f>H7/E7</f>
        <v>0.40300917557976723</v>
      </c>
      <c r="M7" s="45"/>
      <c r="N7" s="233"/>
      <c r="O7" s="239"/>
      <c r="P7" s="233"/>
    </row>
    <row r="8" spans="1:16" x14ac:dyDescent="0.2">
      <c r="N8" s="233"/>
      <c r="O8" s="239"/>
      <c r="P8" s="233"/>
    </row>
    <row r="9" spans="1:16" x14ac:dyDescent="0.2">
      <c r="N9" s="233"/>
      <c r="O9" s="239"/>
      <c r="P9" s="233"/>
    </row>
    <row r="10" spans="1:16" x14ac:dyDescent="0.2">
      <c r="N10" s="233"/>
      <c r="O10" s="239"/>
      <c r="P10" s="240"/>
    </row>
    <row r="17" spans="16:18" ht="24" customHeight="1" x14ac:dyDescent="0.2">
      <c r="P17" s="267"/>
      <c r="Q17" s="268"/>
      <c r="R17" s="269"/>
    </row>
    <row r="18" spans="16:18" ht="14.25" customHeight="1" x14ac:dyDescent="0.2">
      <c r="Q18" s="235"/>
      <c r="R18" s="237"/>
    </row>
    <row r="19" spans="16:18" x14ac:dyDescent="0.2">
      <c r="Q19" s="235"/>
      <c r="R19" s="237"/>
    </row>
    <row r="20" spans="16:18" x14ac:dyDescent="0.2">
      <c r="Q20" s="236"/>
      <c r="R20" s="237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I5" sqref="I5:I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70" t="s">
        <v>103</v>
      </c>
      <c r="C2" s="270"/>
      <c r="D2" s="270"/>
      <c r="E2" s="270"/>
      <c r="F2" s="270"/>
      <c r="G2" s="270"/>
      <c r="H2" s="270"/>
      <c r="I2" s="270"/>
      <c r="J2" s="14"/>
      <c r="K2" s="14"/>
      <c r="L2" s="14"/>
    </row>
    <row r="3" spans="2:23" ht="24.75" customHeight="1" thickBot="1" x14ac:dyDescent="0.25">
      <c r="B3" s="251" t="s">
        <v>126</v>
      </c>
      <c r="C3" s="252"/>
      <c r="D3" s="252"/>
      <c r="E3" s="252"/>
      <c r="F3" s="252"/>
      <c r="G3" s="252"/>
      <c r="H3" s="252"/>
      <c r="I3" s="253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1" t="s">
        <v>119</v>
      </c>
      <c r="E4" s="242" t="s">
        <v>120</v>
      </c>
      <c r="F4" s="228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3" customFormat="1" ht="24.75" thickBot="1" x14ac:dyDescent="0.25">
      <c r="B5" s="4" t="s">
        <v>31</v>
      </c>
      <c r="C5" s="5">
        <v>4767558000</v>
      </c>
      <c r="D5" s="226">
        <v>1462325841</v>
      </c>
      <c r="E5" s="5">
        <v>102000000</v>
      </c>
      <c r="F5" s="229">
        <f>C5+D5-E5</f>
        <v>6127883841</v>
      </c>
      <c r="G5" s="5">
        <v>3287031809</v>
      </c>
      <c r="H5" s="5">
        <v>3274616410</v>
      </c>
      <c r="I5" s="5">
        <v>3274616410</v>
      </c>
      <c r="J5" s="14"/>
      <c r="K5" s="208">
        <f>G5/F5</f>
        <v>0.53640569800089333</v>
      </c>
      <c r="L5" s="208">
        <f>H5/F5</f>
        <v>0.53437964801004134</v>
      </c>
      <c r="M5" s="208">
        <f>I5/F5</f>
        <v>0.53437964801004134</v>
      </c>
      <c r="O5" s="214"/>
      <c r="P5" s="214"/>
    </row>
    <row r="6" spans="2:23" ht="24.75" thickBot="1" x14ac:dyDescent="0.25">
      <c r="B6" s="4" t="s">
        <v>112</v>
      </c>
      <c r="C6" s="5">
        <v>1266159144</v>
      </c>
      <c r="D6" s="5">
        <v>7641480200</v>
      </c>
      <c r="E6" s="5">
        <v>5000000</v>
      </c>
      <c r="F6" s="229">
        <f>C6+D6-E6</f>
        <v>8902639344</v>
      </c>
      <c r="G6" s="5">
        <v>3234909214</v>
      </c>
      <c r="H6" s="5">
        <v>1434457814</v>
      </c>
      <c r="I6" s="5">
        <v>1434457814</v>
      </c>
      <c r="J6" s="14"/>
      <c r="K6" s="208">
        <f>G6/F6</f>
        <v>0.36336518744637131</v>
      </c>
      <c r="L6" s="208">
        <f>H6/F6</f>
        <v>0.1611272521071814</v>
      </c>
      <c r="M6" s="208">
        <f>I6/F6</f>
        <v>0.1611272521071814</v>
      </c>
      <c r="O6" s="45"/>
    </row>
    <row r="7" spans="2:23" ht="24.75" thickBot="1" x14ac:dyDescent="0.25">
      <c r="B7" s="4" t="s">
        <v>111</v>
      </c>
      <c r="C7" s="5">
        <v>3635594225</v>
      </c>
      <c r="D7" s="5">
        <v>1061822172</v>
      </c>
      <c r="E7" s="5">
        <v>3480067225</v>
      </c>
      <c r="F7" s="229">
        <f>C7+D7-E7</f>
        <v>1217349172</v>
      </c>
      <c r="G7" s="5">
        <v>168065559</v>
      </c>
      <c r="H7" s="5">
        <v>133071059</v>
      </c>
      <c r="I7" s="5">
        <v>133071059</v>
      </c>
      <c r="J7" s="14"/>
      <c r="K7" s="208">
        <f>G7/F7</f>
        <v>0.13805863006739696</v>
      </c>
      <c r="L7" s="208">
        <f>H7/F7</f>
        <v>0.10931215304592987</v>
      </c>
      <c r="M7" s="208">
        <f>I7/F7</f>
        <v>0.10931215304592987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0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8" t="e">
        <f>G8/F8</f>
        <v>#DIV/0!</v>
      </c>
      <c r="L8" s="208" t="e">
        <f>H8/F8</f>
        <v>#DIV/0!</v>
      </c>
      <c r="M8" s="208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7497768303</v>
      </c>
      <c r="D9" s="7">
        <f>'EJE DE FUNCIONAMIENTO E INVERSI'!C6</f>
        <v>0</v>
      </c>
      <c r="E9" s="7">
        <v>0</v>
      </c>
      <c r="F9" s="231">
        <f>'EJE DE FUNCIONAMIENTO E INVERSI'!E6</f>
        <v>7497768303</v>
      </c>
      <c r="G9" s="7">
        <f>'EJE DE FUNCIONAMIENTO E INVERSI'!F6</f>
        <v>6137896886</v>
      </c>
      <c r="H9" s="7">
        <f>'EJE DE FUNCIONAMIENTO E INVERSI'!G6</f>
        <v>4727565783</v>
      </c>
      <c r="I9" s="7">
        <f>'EJE DE FUNCIONAMIENTO E INVERSI'!H6</f>
        <v>4727565783</v>
      </c>
      <c r="J9" s="14"/>
      <c r="K9" s="208">
        <f>G9/F9</f>
        <v>0.81862984263518923</v>
      </c>
      <c r="L9" s="208">
        <f>H9/F9</f>
        <v>0.6305297245726319</v>
      </c>
      <c r="M9" s="208">
        <f>I9/F9</f>
        <v>0.6305297245726319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0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17167079672</v>
      </c>
      <c r="D11" s="9">
        <f>+SUM(D5:D10)</f>
        <v>10165628213</v>
      </c>
      <c r="E11" s="9">
        <f>E5+E6+E7+E8+E9</f>
        <v>3587067225</v>
      </c>
      <c r="F11" s="232">
        <f t="shared" ref="F11" si="4">+SUM(F5:F10)</f>
        <v>23745640660</v>
      </c>
      <c r="G11" s="9">
        <f>+SUM(G5:G10)</f>
        <v>12827903468</v>
      </c>
      <c r="H11" s="9">
        <f>+SUM(H5:H10)</f>
        <v>9569711066</v>
      </c>
      <c r="I11" s="9">
        <f>+SUM(I5:I10)</f>
        <v>9569711066</v>
      </c>
      <c r="J11" s="14"/>
      <c r="K11" s="181">
        <f>G11/F11</f>
        <v>0.54022140954945286</v>
      </c>
      <c r="L11" s="181">
        <f>H11/F11</f>
        <v>0.40300917557976723</v>
      </c>
      <c r="M11" s="181">
        <f>I11/F11</f>
        <v>0.40300917557976723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3"/>
      <c r="O13" s="271"/>
      <c r="P13" s="271"/>
      <c r="Q13" s="271"/>
      <c r="R13" s="271"/>
      <c r="S13" s="271"/>
      <c r="T13" s="271"/>
      <c r="U13" s="271"/>
      <c r="V13" s="271"/>
      <c r="W13" s="233"/>
    </row>
    <row r="14" spans="2:23" x14ac:dyDescent="0.2">
      <c r="N14" s="233"/>
      <c r="O14" s="233"/>
      <c r="P14" s="233"/>
      <c r="Q14" s="233"/>
      <c r="R14" s="233"/>
      <c r="S14" s="233"/>
      <c r="T14" s="233"/>
      <c r="U14" s="233"/>
      <c r="V14" s="233"/>
      <c r="W14" s="233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2" t="s">
        <v>19</v>
      </c>
      <c r="B2" s="273"/>
      <c r="C2" s="273"/>
      <c r="D2" s="273"/>
    </row>
    <row r="3" spans="1:4" ht="27" customHeight="1" x14ac:dyDescent="0.25">
      <c r="A3" s="273"/>
      <c r="B3" s="273"/>
      <c r="C3" s="273"/>
      <c r="D3" s="273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14" sqref="C14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4" t="s">
        <v>127</v>
      </c>
      <c r="B4" s="275"/>
      <c r="C4" s="275"/>
      <c r="D4" s="275"/>
      <c r="E4" s="276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510656977</v>
      </c>
      <c r="C6" s="30">
        <v>178575850</v>
      </c>
      <c r="D6" s="31">
        <f>+B6/$B$17</f>
        <v>8.3333331742245734E-2</v>
      </c>
      <c r="E6" s="177">
        <f>+C6/$B$17</f>
        <v>2.9141520079933252E-2</v>
      </c>
    </row>
    <row r="7" spans="1:5" x14ac:dyDescent="0.2">
      <c r="A7" s="22" t="s">
        <v>7</v>
      </c>
      <c r="B7" s="19">
        <f>+$B$6*2</f>
        <v>1021313954</v>
      </c>
      <c r="C7" s="19">
        <v>617816272</v>
      </c>
      <c r="D7" s="20">
        <f t="shared" ref="D7:D17" si="0">+B7/$B$17</f>
        <v>0.16666666348449147</v>
      </c>
      <c r="E7" s="179">
        <f t="shared" ref="E7:E17" si="1">+C7/$B$17</f>
        <v>0.10082049334329084</v>
      </c>
    </row>
    <row r="8" spans="1:5" x14ac:dyDescent="0.2">
      <c r="A8" s="22" t="s">
        <v>8</v>
      </c>
      <c r="B8" s="19">
        <f>+$B$6*3</f>
        <v>1531970931</v>
      </c>
      <c r="C8" s="19">
        <v>899454538</v>
      </c>
      <c r="D8" s="20">
        <f t="shared" si="0"/>
        <v>0.24999999522673719</v>
      </c>
      <c r="E8" s="179">
        <f t="shared" si="1"/>
        <v>0.14678061160069564</v>
      </c>
    </row>
    <row r="9" spans="1:5" x14ac:dyDescent="0.2">
      <c r="A9" s="22" t="s">
        <v>9</v>
      </c>
      <c r="B9" s="19">
        <f>+$B$6*4</f>
        <v>2042627908</v>
      </c>
      <c r="C9" s="19">
        <v>1642714278</v>
      </c>
      <c r="D9" s="20">
        <f t="shared" si="0"/>
        <v>0.33333332696898293</v>
      </c>
      <c r="E9" s="179">
        <f t="shared" si="1"/>
        <v>0.26807203279687625</v>
      </c>
    </row>
    <row r="10" spans="1:5" x14ac:dyDescent="0.2">
      <c r="A10" s="22" t="s">
        <v>10</v>
      </c>
      <c r="B10" s="19">
        <f>+$B$6*5</f>
        <v>2553284885</v>
      </c>
      <c r="C10" s="19">
        <v>2140181237</v>
      </c>
      <c r="D10" s="20">
        <f t="shared" si="0"/>
        <v>0.41666665871122865</v>
      </c>
      <c r="E10" s="179">
        <f t="shared" si="1"/>
        <v>0.34925290565735451</v>
      </c>
    </row>
    <row r="11" spans="1:5" x14ac:dyDescent="0.2">
      <c r="A11" s="22" t="s">
        <v>11</v>
      </c>
      <c r="B11" s="19">
        <f>+$B$6*6</f>
        <v>3063941862</v>
      </c>
      <c r="C11" s="19">
        <v>2500929425</v>
      </c>
      <c r="D11" s="20">
        <f t="shared" si="0"/>
        <v>0.49999999045347437</v>
      </c>
      <c r="E11" s="179">
        <f t="shared" si="1"/>
        <v>0.4081228511981515</v>
      </c>
    </row>
    <row r="12" spans="1:5" x14ac:dyDescent="0.2">
      <c r="A12" s="22" t="s">
        <v>12</v>
      </c>
      <c r="B12" s="19">
        <f>+$B$6*7</f>
        <v>3574598839</v>
      </c>
      <c r="C12" s="19">
        <v>2983224055</v>
      </c>
      <c r="D12" s="20">
        <f t="shared" si="0"/>
        <v>0.58333332219572009</v>
      </c>
      <c r="E12" s="179">
        <f t="shared" si="1"/>
        <v>0.48682777487393958</v>
      </c>
    </row>
    <row r="13" spans="1:5" x14ac:dyDescent="0.2">
      <c r="A13" s="22" t="s">
        <v>13</v>
      </c>
      <c r="B13" s="19">
        <f>+$B$6*8</f>
        <v>4085255816</v>
      </c>
      <c r="C13" s="19">
        <v>3274616410</v>
      </c>
      <c r="D13" s="20">
        <f t="shared" si="0"/>
        <v>0.66666665393796587</v>
      </c>
      <c r="E13" s="179">
        <f t="shared" si="1"/>
        <v>0.53437964801004134</v>
      </c>
    </row>
    <row r="14" spans="1:5" x14ac:dyDescent="0.2">
      <c r="A14" s="22" t="s">
        <v>14</v>
      </c>
      <c r="B14" s="19">
        <f>+$B$6*9</f>
        <v>4595912793</v>
      </c>
      <c r="C14" s="19">
        <v>0</v>
      </c>
      <c r="D14" s="20">
        <f t="shared" si="0"/>
        <v>0.74999998568021164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5106569770</v>
      </c>
      <c r="C15" s="19">
        <v>0</v>
      </c>
      <c r="D15" s="20">
        <f t="shared" si="0"/>
        <v>0.83333331742245731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5617226747</v>
      </c>
      <c r="C16" s="215">
        <v>0</v>
      </c>
      <c r="D16" s="20">
        <f t="shared" si="0"/>
        <v>0.91666664916470308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+$B$6*12+117</f>
        <v>6127883841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194"/>
      <c r="D19" s="194"/>
    </row>
    <row r="20" spans="1:5" x14ac:dyDescent="0.2">
      <c r="A20" s="196"/>
      <c r="B20" s="13"/>
    </row>
    <row r="21" spans="1:5" x14ac:dyDescent="0.2">
      <c r="B21" s="13"/>
      <c r="C21" s="194"/>
      <c r="D21" s="195"/>
    </row>
    <row r="22" spans="1:5" x14ac:dyDescent="0.2">
      <c r="B22" s="13"/>
      <c r="D22" s="196"/>
    </row>
    <row r="23" spans="1:5" x14ac:dyDescent="0.2">
      <c r="B23" s="13"/>
      <c r="D23" s="196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topLeftCell="A4" workbookViewId="0">
      <selection activeCell="C14" sqref="C14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7" t="s">
        <v>128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741886612</v>
      </c>
      <c r="C6" s="21">
        <v>7532079</v>
      </c>
      <c r="D6" s="20">
        <f>+B6/$B$17</f>
        <v>8.3333333333333329E-2</v>
      </c>
      <c r="E6" s="179">
        <f>+C6/$B$17</f>
        <v>8.4605011041768204E-4</v>
      </c>
    </row>
    <row r="7" spans="1:5" x14ac:dyDescent="0.2">
      <c r="A7" s="22" t="s">
        <v>7</v>
      </c>
      <c r="B7" s="190">
        <f>+$B$6*2</f>
        <v>1483773224</v>
      </c>
      <c r="C7" s="21">
        <v>169313094</v>
      </c>
      <c r="D7" s="20">
        <f t="shared" ref="D7:D17" si="0">+B7/$B$17</f>
        <v>0.16666666666666666</v>
      </c>
      <c r="E7" s="179">
        <f t="shared" ref="E7:E17" si="1">+C7/$B$17</f>
        <v>1.9018303163556752E-2</v>
      </c>
    </row>
    <row r="8" spans="1:5" x14ac:dyDescent="0.2">
      <c r="A8" s="22" t="s">
        <v>8</v>
      </c>
      <c r="B8" s="190">
        <f>+$B$6*3</f>
        <v>2225659836</v>
      </c>
      <c r="C8" s="21">
        <v>327646812</v>
      </c>
      <c r="D8" s="20">
        <f t="shared" si="0"/>
        <v>0.25</v>
      </c>
      <c r="E8" s="179">
        <f t="shared" si="1"/>
        <v>3.6803334307911731E-2</v>
      </c>
    </row>
    <row r="9" spans="1:5" x14ac:dyDescent="0.2">
      <c r="A9" s="22" t="s">
        <v>9</v>
      </c>
      <c r="B9" s="190">
        <f>+$B$6*4</f>
        <v>2967546448</v>
      </c>
      <c r="C9" s="21">
        <v>526292483</v>
      </c>
      <c r="D9" s="20">
        <f t="shared" si="0"/>
        <v>0.33333333333333331</v>
      </c>
      <c r="E9" s="179">
        <f t="shared" si="1"/>
        <v>5.9116455543568522E-2</v>
      </c>
    </row>
    <row r="10" spans="1:5" x14ac:dyDescent="0.2">
      <c r="A10" s="22" t="s">
        <v>10</v>
      </c>
      <c r="B10" s="190">
        <f>+$B$6*5</f>
        <v>3709433060</v>
      </c>
      <c r="C10" s="21">
        <v>732794542</v>
      </c>
      <c r="D10" s="20">
        <f t="shared" si="0"/>
        <v>0.41666666666666669</v>
      </c>
      <c r="E10" s="179">
        <f t="shared" si="1"/>
        <v>8.2312055300080456E-2</v>
      </c>
    </row>
    <row r="11" spans="1:5" x14ac:dyDescent="0.2">
      <c r="A11" s="22" t="s">
        <v>11</v>
      </c>
      <c r="B11" s="190">
        <f>+$B$6*6</f>
        <v>4451319672</v>
      </c>
      <c r="C11" s="21">
        <v>927016321</v>
      </c>
      <c r="D11" s="20">
        <f t="shared" si="0"/>
        <v>0.5</v>
      </c>
      <c r="E11" s="179">
        <f t="shared" si="1"/>
        <v>0.1041282573829939</v>
      </c>
    </row>
    <row r="12" spans="1:5" x14ac:dyDescent="0.2">
      <c r="A12" s="22" t="s">
        <v>12</v>
      </c>
      <c r="B12" s="190">
        <f>+$B$6*7</f>
        <v>5193206284</v>
      </c>
      <c r="C12" s="21">
        <v>1155317226</v>
      </c>
      <c r="D12" s="20">
        <f t="shared" si="0"/>
        <v>0.58333333333333337</v>
      </c>
      <c r="E12" s="179">
        <f t="shared" si="1"/>
        <v>0.12977243953824039</v>
      </c>
    </row>
    <row r="13" spans="1:5" x14ac:dyDescent="0.2">
      <c r="A13" s="22" t="s">
        <v>13</v>
      </c>
      <c r="B13" s="190">
        <f>+$B$6*8</f>
        <v>5935092896</v>
      </c>
      <c r="C13" s="21">
        <v>1434457814</v>
      </c>
      <c r="D13" s="20">
        <f t="shared" si="0"/>
        <v>0.66666666666666663</v>
      </c>
      <c r="E13" s="179">
        <f t="shared" si="1"/>
        <v>0.1611272521071814</v>
      </c>
    </row>
    <row r="14" spans="1:5" x14ac:dyDescent="0.2">
      <c r="A14" s="22" t="s">
        <v>14</v>
      </c>
      <c r="B14" s="190">
        <f>+$B$6*9</f>
        <v>6676979508</v>
      </c>
      <c r="C14" s="21">
        <v>0</v>
      </c>
      <c r="D14" s="20">
        <f t="shared" si="0"/>
        <v>0.75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7418866120</v>
      </c>
      <c r="C15" s="21">
        <v>0</v>
      </c>
      <c r="D15" s="20">
        <f t="shared" si="0"/>
        <v>0.83333333333333337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8160752732</v>
      </c>
      <c r="C16" s="21">
        <v>0</v>
      </c>
      <c r="D16" s="20">
        <f t="shared" si="0"/>
        <v>0.91666666666666663</v>
      </c>
      <c r="E16" s="179">
        <f t="shared" si="1"/>
        <v>0</v>
      </c>
    </row>
    <row r="17" spans="1:5" ht="13.5" thickBot="1" x14ac:dyDescent="0.25">
      <c r="A17" s="39" t="s">
        <v>17</v>
      </c>
      <c r="B17" s="217">
        <f>+$B$6*12</f>
        <v>8902639344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5"/>
    </row>
    <row r="19" spans="1:5" x14ac:dyDescent="0.2">
      <c r="B19" s="13"/>
      <c r="C19" s="216"/>
      <c r="D19" s="194"/>
    </row>
    <row r="20" spans="1:5" x14ac:dyDescent="0.2">
      <c r="B20" s="13"/>
      <c r="C20" s="216"/>
    </row>
    <row r="21" spans="1:5" x14ac:dyDescent="0.2">
      <c r="B21" s="13"/>
      <c r="C21" s="194"/>
      <c r="D21" s="195"/>
    </row>
    <row r="22" spans="1:5" x14ac:dyDescent="0.2">
      <c r="B22" s="13"/>
      <c r="D22" s="195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7" t="s">
        <v>33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7" t="s">
        <v>34</v>
      </c>
      <c r="B5" s="278"/>
      <c r="C5" s="278"/>
      <c r="D5" s="278"/>
      <c r="E5" s="279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2026-09-03T13:04:23Z</dcterms:modified>
</cp:coreProperties>
</file>