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6\PROYECTO DE INVERSIÓN 2026\INFORME DE EJECUCION CONSEJO DIRECTIVO\"/>
    </mc:Choice>
  </mc:AlternateContent>
  <xr:revisionPtr revIDLastSave="0" documentId="13_ncr:1_{A5B86608-DDA0-4E9A-A69B-030FD6338690}" xr6:coauthVersionLast="36" xr6:coauthVersionMax="36" xr10:uidLastSave="{00000000-0000-0000-0000-000000000000}"/>
  <bookViews>
    <workbookView xWindow="0" yWindow="0" windowWidth="28185" windowHeight="7635" tabRatio="945" activeTab="3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5" l="1"/>
  <c r="I8" i="15"/>
  <c r="H10" i="15"/>
  <c r="F9" i="4" l="1"/>
  <c r="M5" i="4" l="1"/>
  <c r="L5" i="4"/>
  <c r="K5" i="4"/>
  <c r="B18" i="10" l="1"/>
  <c r="B17" i="6"/>
  <c r="B17" i="5"/>
  <c r="C8" i="15"/>
  <c r="G7" i="1" l="1"/>
  <c r="H7" i="1"/>
  <c r="I5" i="11" l="1"/>
  <c r="H5" i="11"/>
  <c r="G5" i="11" l="1"/>
  <c r="D5" i="11"/>
  <c r="F5" i="11" s="1"/>
  <c r="K5" i="11" l="1"/>
  <c r="I8" i="11" l="1"/>
  <c r="B16" i="6" l="1"/>
  <c r="F7" i="1" l="1"/>
  <c r="B15" i="5" l="1"/>
  <c r="F7" i="4" l="1"/>
  <c r="F6" i="4"/>
  <c r="K6" i="4" s="1"/>
  <c r="F5" i="4"/>
  <c r="E5" i="1" l="1"/>
  <c r="C4" i="16" l="1"/>
  <c r="D4" i="16" s="1"/>
  <c r="B7" i="5" l="1"/>
  <c r="B7" i="1" l="1"/>
  <c r="C7" i="1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D13" i="10" s="1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F8" i="15" s="1"/>
  <c r="D10" i="15"/>
  <c r="F9" i="15"/>
  <c r="F7" i="15"/>
  <c r="E10" i="15" l="1"/>
  <c r="K7" i="4"/>
  <c r="M7" i="4"/>
  <c r="L7" i="4"/>
  <c r="L6" i="4"/>
  <c r="M6" i="4"/>
  <c r="F10" i="15"/>
  <c r="M8" i="4"/>
  <c r="K8" i="4"/>
  <c r="E7" i="1"/>
  <c r="G7" i="15" l="1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K9" i="4" l="1"/>
  <c r="F11" i="4" l="1"/>
  <c r="I9" i="15"/>
  <c r="C4" i="9"/>
  <c r="D4" i="9" s="1"/>
  <c r="F4" i="9" s="1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C7" i="16" l="1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<sst xmlns="http://schemas.openxmlformats.org/spreadsheetml/2006/main" count="283" uniqueCount="131">
  <si>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</si>
  <si>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</si>
  <si>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</si>
  <si>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</si>
  <si>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</si>
  <si>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</si>
  <si>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</si>
  <si>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</si>
  <si>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</si>
  <si>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</si>
  <si>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</si>
  <si>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</si>
  <si>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</si>
  <si>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</si>
  <si>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</si>
  <si>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</si>
  <si>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</si>
  <si>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</si>
  <si>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</si>
  <si>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</si>
  <si>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</si>
  <si>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</si>
  <si>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</si>
  <si>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</si>
  <si>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</si>
  <si>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</si>
  <si>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</si>
  <si>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</si>
  <si>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</si>
  <si>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</si>
  <si>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</si>
  <si>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</si>
  <si>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</si>
  <si>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</si>
  <si>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</si>
  <si>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</si>
  <si>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</si>
  <si>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</si>
  <si>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</si>
  <si>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</si>
  <si>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</si>
  <si>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</si>
  <si>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</si>
  <si>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</si>
  <si>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</si>
  <si>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</si>
  <si>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</si>
  <si>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</si>
  <si>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</si>
  <si>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</si>
  <si>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</si>
  <si>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</si>
  <si>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</si>
  <si>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</si>
  <si>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</si>
  <si>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</si>
  <si>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</si>
  <si>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</si>
  <si>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</si>
  <si>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</si>
  <si>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</si>
  <si>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</si>
  <si>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</si>
  <si>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</si>
  <si>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</si>
  <si>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</si>
  <si>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</si>
  <si>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</si>
  <si>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</si>
  <si>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</si>
  <si>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</si>
  <si>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</si>
  <si>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</si>
  <si>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</si>
  <si>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</si>
  <si>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</si>
  <si>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</si>
  <si>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</si>
  <si>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</si>
  <si>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</si>
  <si>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</si>
  <si>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</si>
  <si>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</si>
  <si>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</si>
  <si>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</si>
  <si>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</si>
  <si>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</si>
  <si>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</si>
  <si>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</si>
  <si>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</si>
  <si>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</si>
  <si>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</si>
  <si>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</si>
  <si>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</si>
  <si>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</si>
  <si>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</si>
  <si>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</si>
  <si>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</si>
  <si>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</si>
  <si>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</si>
  <si>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</si>
  <si>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</si>
  <si>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</si>
  <si>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</si>
  <si>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</si>
  <si>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</si>
  <si>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</si>
  <si>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</si>
  <si>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</si>
  <si>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</si>
  <si>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</si>
  <si>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</si>
  <si>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</si>
  <si>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</si>
  <si>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</si>
  <si>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</si>
  <si>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</si>
  <si>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</si>
  <si>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</si>
  <si>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</si>
  <si>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</si>
  <si>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</si>
  <si>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</si>
  <si>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 xml:space="preserve">Presupuesto Definitivo 2025 (2)
</t>
  </si>
  <si>
    <t>EJECUCIÓN PRESUPUESTAL DE INGRESOS RECURSO PROPIOS
ENERO 2026 - DICIEMBRE 31   2026.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</si>
  <si>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2026
(3)</t>
    </r>
  </si>
  <si>
    <t>CON CORTE MARZO 31 DE 2026</t>
  </si>
  <si>
    <t>EJECUCIÓN PRESUPUESTAL 
GASTOS DE PERSONAL 
CON CORTE MARZO 31 DE 2026</t>
  </si>
  <si>
    <t>EJECUCIÓN PRESUPUESTAL
ADQUISICIÓN BIENES Y SERVICIOS
CON CORTE MARZO 31 DE 2026</t>
  </si>
  <si>
    <t>Ejecución Presupuestal - Proyectos de Inversión
CON CORTE MARZO 31 DE 2026</t>
  </si>
  <si>
    <t>EJECUCIÓN PRESUPUESTAL 
PROYECTOS DE INVERSIÓN
CON CORTE MARZO 31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</si>
</sst>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7" fontId="0" fillId="0" borderId="0" xfId="0" applyNumberFormat="1"/>
    <xf numFmtId="164" fontId="15" fillId="0" borderId="47" xfId="9" applyNumberFormat="1" applyFont="1" applyBorder="1"/>
    <xf numFmtId="165" fontId="15" fillId="0" borderId="1" xfId="9" applyFont="1" applyBorder="1" applyAlignment="1">
      <alignment horizontal="right" vertical="center" wrapText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219366676387674"/>
          <c:y val="1.7486338797814208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820000000</c:v>
                </c:pt>
                <c:pt idx="1">
                  <c:v>16347079672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4.7765841113759352E-2</c:v>
                </c:pt>
                <c:pt idx="1">
                  <c:v>0.95223415888624063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MARZO 31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5.9487616826783352E-3</c:v>
                </c:pt>
                <c:pt idx="1">
                  <c:v>0.13372181119753457</c:v>
                </c:pt>
                <c:pt idx="2">
                  <c:v>0.25877221955283686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MARZO 31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105513262</c:v>
                </c:pt>
                <c:pt idx="1">
                  <c:v>211026524</c:v>
                </c:pt>
                <c:pt idx="2">
                  <c:v>316539786</c:v>
                </c:pt>
                <c:pt idx="3">
                  <c:v>422053048</c:v>
                </c:pt>
                <c:pt idx="4">
                  <c:v>527566310</c:v>
                </c:pt>
                <c:pt idx="5">
                  <c:v>633079572</c:v>
                </c:pt>
                <c:pt idx="6">
                  <c:v>738592834</c:v>
                </c:pt>
                <c:pt idx="7">
                  <c:v>844106096</c:v>
                </c:pt>
                <c:pt idx="8">
                  <c:v>949619358</c:v>
                </c:pt>
                <c:pt idx="9">
                  <c:v>1055132620</c:v>
                </c:pt>
                <c:pt idx="10">
                  <c:v>1160645882</c:v>
                </c:pt>
                <c:pt idx="11">
                  <c:v>1266159144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169313094</c:v>
                </c:pt>
                <c:pt idx="2">
                  <c:v>327646812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MARZO 31 DE 2026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7497768303</c:v>
                </c:pt>
                <c:pt idx="1">
                  <c:v>7497768303</c:v>
                </c:pt>
                <c:pt idx="2">
                  <c:v>918867187</c:v>
                </c:pt>
                <c:pt idx="3" formatCode="0.00%">
                  <c:v>0.12255209148465467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cap="all" baseline="0">
                <a:effectLst/>
              </a:rPr>
              <a:t>CON CORTE MARZO 31 DE 2026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8.3333333299990084E-2</c:v>
                </c:pt>
                <c:pt idx="1">
                  <c:v>0.16666666659998017</c:v>
                </c:pt>
                <c:pt idx="2">
                  <c:v>0.24999999989997024</c:v>
                </c:pt>
                <c:pt idx="3">
                  <c:v>0.33333333319996034</c:v>
                </c:pt>
                <c:pt idx="4">
                  <c:v>0.41666666649995038</c:v>
                </c:pt>
                <c:pt idx="5">
                  <c:v>0.49999999979994048</c:v>
                </c:pt>
                <c:pt idx="6">
                  <c:v>0.58333333309993052</c:v>
                </c:pt>
                <c:pt idx="7">
                  <c:v>0.66666666639992067</c:v>
                </c:pt>
                <c:pt idx="8">
                  <c:v>0.74999999969991071</c:v>
                </c:pt>
                <c:pt idx="9">
                  <c:v>0.83333333299990076</c:v>
                </c:pt>
                <c:pt idx="10">
                  <c:v>0.91666666629989091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3.900194033509867E-2</c:v>
                </c:pt>
                <c:pt idx="2">
                  <c:v>0.12255209148465467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7497768303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4385117245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918867187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918867187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MARZO 31 DE 2026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0.58485632894863271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0.12255209148465467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0.12255209148465467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245810150</c:v>
                </c:pt>
                <c:pt idx="1">
                  <c:v>2082039538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1.4318693376889456E-2</c:v>
                </c:pt>
                <c:pt idx="1">
                  <c:v>0.121280938737406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  <c:pt idx="3">
                  <c:v>820000000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Recaudos Acumulados (PERIODO) 2026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245810150</c:v>
                </c:pt>
                <c:pt idx="1">
                  <c:v>0</c:v>
                </c:pt>
                <c:pt idx="2">
                  <c:v>0</c:v>
                </c:pt>
                <c:pt idx="3">
                  <c:v>245810150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0.29976847560975611</c:v>
                </c:pt>
                <c:pt idx="1">
                  <c:v>0</c:v>
                </c:pt>
                <c:pt idx="2">
                  <c:v>0</c:v>
                </c:pt>
                <c:pt idx="3" formatCode="0.00%">
                  <c:v>0.29976847560975611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2026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245810150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0.29976847560975611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MARZO 31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9669311369</c:v>
                </c:pt>
                <c:pt idx="1">
                  <c:v>1643499724</c:v>
                </c:pt>
                <c:pt idx="2">
                  <c:v>1643499724</c:v>
                </c:pt>
                <c:pt idx="3">
                  <c:v>9669311369</c:v>
                </c:pt>
                <c:pt idx="4">
                  <c:v>2022815963</c:v>
                </c:pt>
                <c:pt idx="5">
                  <c:v>1267092560</c:v>
                </c:pt>
                <c:pt idx="6">
                  <c:v>1267092560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4385117245</c:v>
                </c:pt>
                <c:pt idx="5">
                  <c:v>918867187</c:v>
                </c:pt>
                <c:pt idx="6">
                  <c:v>918867187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MARZO 31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4767558000</c:v>
                </c:pt>
                <c:pt idx="1">
                  <c:v>0</c:v>
                </c:pt>
                <c:pt idx="2">
                  <c:v>0</c:v>
                </c:pt>
                <c:pt idx="3">
                  <c:v>4767558000</c:v>
                </c:pt>
                <c:pt idx="4">
                  <c:v>908187727</c:v>
                </c:pt>
                <c:pt idx="5">
                  <c:v>899454538</c:v>
                </c:pt>
                <c:pt idx="6">
                  <c:v>899454538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1266159144</c:v>
                </c:pt>
                <c:pt idx="1">
                  <c:v>1643499724</c:v>
                </c:pt>
                <c:pt idx="2">
                  <c:v>0</c:v>
                </c:pt>
                <c:pt idx="3">
                  <c:v>2909658868</c:v>
                </c:pt>
                <c:pt idx="4">
                  <c:v>981557177</c:v>
                </c:pt>
                <c:pt idx="5">
                  <c:v>327646812</c:v>
                </c:pt>
                <c:pt idx="6">
                  <c:v>327646812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3635594225</c:v>
                </c:pt>
                <c:pt idx="1">
                  <c:v>0</c:v>
                </c:pt>
                <c:pt idx="2">
                  <c:v>1643499724</c:v>
                </c:pt>
                <c:pt idx="3">
                  <c:v>1992094501</c:v>
                </c:pt>
                <c:pt idx="4">
                  <c:v>133071059</c:v>
                </c:pt>
                <c:pt idx="5">
                  <c:v>39991210</c:v>
                </c:pt>
                <c:pt idx="6">
                  <c:v>39991210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4385117245</c:v>
                </c:pt>
                <c:pt idx="5">
                  <c:v>918867187</c:v>
                </c:pt>
                <c:pt idx="6">
                  <c:v>918867187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MARZO 31 DE 2026</c:v>
            </c:pt>
          </c:strCache>
        </c:strRef>
      </c:tx>
      <c:layout>
        <c:manualLayout>
          <c:xMode val="edge"/>
          <c:yMode val="edge"/>
          <c:x val="0.2674286731857633"/>
          <c:y val="2.7366017248491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3.7456460938702793E-2</c:v>
                </c:pt>
                <c:pt idx="1">
                  <c:v>0.12958757334467666</c:v>
                </c:pt>
                <c:pt idx="2">
                  <c:v>0.18866147784672993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MARZO 31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397296500</c:v>
                </c:pt>
                <c:pt idx="1">
                  <c:v>794593000</c:v>
                </c:pt>
                <c:pt idx="2">
                  <c:v>1191889500</c:v>
                </c:pt>
                <c:pt idx="3">
                  <c:v>1589186000</c:v>
                </c:pt>
                <c:pt idx="4">
                  <c:v>1986482500</c:v>
                </c:pt>
                <c:pt idx="5">
                  <c:v>2383779000</c:v>
                </c:pt>
                <c:pt idx="6">
                  <c:v>2781075500</c:v>
                </c:pt>
                <c:pt idx="7">
                  <c:v>3178372000</c:v>
                </c:pt>
                <c:pt idx="8">
                  <c:v>3575668500</c:v>
                </c:pt>
                <c:pt idx="9">
                  <c:v>3972965000</c:v>
                </c:pt>
                <c:pt idx="10">
                  <c:v>4370261500</c:v>
                </c:pt>
                <c:pt idx="11">
                  <c:v>4767558000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178575850</c:v>
                </c:pt>
                <c:pt idx="1">
                  <c:v>617816272</c:v>
                </c:pt>
                <c:pt idx="2">
                  <c:v>899454538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I8" sqref="I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4" t="s">
        <v>101</v>
      </c>
      <c r="C3" s="255"/>
      <c r="D3" s="255"/>
      <c r="E3" s="255"/>
      <c r="F3" s="255"/>
      <c r="G3" s="255"/>
      <c r="H3" s="255"/>
      <c r="I3" s="256"/>
    </row>
    <row r="4" spans="2:14" ht="13.5" customHeight="1" thickBot="1" x14ac:dyDescent="0.25">
      <c r="B4" s="251" t="s">
        <v>126</v>
      </c>
      <c r="C4" s="252"/>
      <c r="D4" s="252"/>
      <c r="E4" s="252"/>
      <c r="F4" s="252"/>
      <c r="G4" s="252"/>
      <c r="H4" s="252"/>
      <c r="I4" s="253"/>
      <c r="J4" s="248"/>
    </row>
    <row r="5" spans="2:14" ht="13.5" thickBot="1" x14ac:dyDescent="0.25"/>
    <row r="6" spans="2:14" ht="51.75" thickBot="1" x14ac:dyDescent="0.25">
      <c r="B6" s="138" t="s">
        <v>90</v>
      </c>
      <c r="C6" s="206" t="s">
        <v>115</v>
      </c>
      <c r="D6" s="220" t="s">
        <v>118</v>
      </c>
      <c r="E6" s="220" t="s">
        <v>117</v>
      </c>
      <c r="F6" s="207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820000000</v>
      </c>
      <c r="D7" s="221">
        <v>0</v>
      </c>
      <c r="E7" s="222">
        <v>0</v>
      </c>
      <c r="F7" s="142">
        <f>C7+D7-E7</f>
        <v>820000000</v>
      </c>
      <c r="G7" s="31">
        <f>F7/F10</f>
        <v>4.7765841113759352E-2</v>
      </c>
      <c r="H7" s="249">
        <v>245810150</v>
      </c>
      <c r="I7" s="177">
        <f>H7/F7</f>
        <v>0.29976847560975611</v>
      </c>
      <c r="K7" s="163"/>
      <c r="M7" s="154"/>
    </row>
    <row r="8" spans="2:14" ht="13.5" customHeight="1" thickBot="1" x14ac:dyDescent="0.25">
      <c r="B8" s="137" t="s">
        <v>105</v>
      </c>
      <c r="C8" s="143">
        <f>17167079672-C7</f>
        <v>16347079672</v>
      </c>
      <c r="D8" s="202">
        <v>0</v>
      </c>
      <c r="E8" s="222">
        <v>0</v>
      </c>
      <c r="F8" s="142">
        <f>C8+D8-E8</f>
        <v>16347079672</v>
      </c>
      <c r="G8" s="31">
        <f>F8/F10</f>
        <v>0.95223415888624063</v>
      </c>
      <c r="H8" s="189">
        <v>2082039538</v>
      </c>
      <c r="I8" s="179">
        <f>H8/F8</f>
        <v>0.12736461678633704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3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0">
        <f>+C7+C8+C9</f>
        <v>17167079672</v>
      </c>
      <c r="D10" s="200">
        <f>SUM(D7:D9)</f>
        <v>0</v>
      </c>
      <c r="E10" s="224">
        <f>SUM(E7:E9)</f>
        <v>0</v>
      </c>
      <c r="F10" s="200">
        <f>+F7+F8+F9</f>
        <v>17167079672</v>
      </c>
      <c r="G10" s="149">
        <f>SUM(G7:G9)</f>
        <v>1</v>
      </c>
      <c r="H10" s="148">
        <f>SUM(H7:H9)</f>
        <v>2327849688</v>
      </c>
      <c r="I10" s="178">
        <f>SUM(I7:I9)</f>
        <v>0.42713309239609315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1"/>
      <c r="E32" s="201"/>
      <c r="F32" s="201"/>
      <c r="G32" s="141" t="s">
        <v>96</v>
      </c>
    </row>
    <row r="33" spans="2:15" x14ac:dyDescent="0.2">
      <c r="B33" s="136" t="s">
        <v>92</v>
      </c>
      <c r="C33" s="142">
        <f>+H7</f>
        <v>245810150</v>
      </c>
      <c r="D33" s="202"/>
      <c r="E33" s="202"/>
      <c r="F33" s="202"/>
      <c r="G33" s="177">
        <f>C33/C10</f>
        <v>1.4318693376889456E-2</v>
      </c>
    </row>
    <row r="34" spans="2:15" ht="13.5" thickBot="1" x14ac:dyDescent="0.25">
      <c r="B34" s="137" t="s">
        <v>93</v>
      </c>
      <c r="C34" s="142">
        <f>+H8</f>
        <v>2082039538</v>
      </c>
      <c r="D34" s="202"/>
      <c r="E34" s="202"/>
      <c r="F34" s="202"/>
      <c r="G34" s="179">
        <f>C34/C10</f>
        <v>0.121280938737406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3"/>
      <c r="E35" s="203"/>
      <c r="F35" s="203"/>
      <c r="G35" s="180">
        <f>C35/C10</f>
        <v>0</v>
      </c>
    </row>
    <row r="36" spans="2:15" ht="13.5" thickBot="1" x14ac:dyDescent="0.25">
      <c r="B36" s="147" t="s">
        <v>89</v>
      </c>
      <c r="C36" s="199">
        <f>SUM(C33:C35)</f>
        <v>2327849688</v>
      </c>
      <c r="D36" s="204"/>
      <c r="E36" s="204"/>
      <c r="F36" s="204"/>
      <c r="G36" s="205">
        <f>SUM(G33:G35)</f>
        <v>0.13559963211429546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80" t="s">
        <v>129</v>
      </c>
      <c r="C2" s="281"/>
      <c r="D2" s="281"/>
      <c r="E2" s="281"/>
      <c r="F2" s="282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7497768303</v>
      </c>
      <c r="D4" s="53">
        <f>C4</f>
        <v>7497768303</v>
      </c>
      <c r="E4" s="53">
        <v>918867187</v>
      </c>
      <c r="F4" s="186">
        <f>E4/D4</f>
        <v>0.12255209148465467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0" sqref="C10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7" t="s">
        <v>130</v>
      </c>
      <c r="B5" s="278"/>
      <c r="C5" s="278"/>
      <c r="D5" s="278"/>
      <c r="E5" s="279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624814025</v>
      </c>
      <c r="C7" s="47">
        <v>0</v>
      </c>
      <c r="D7" s="48">
        <f>+B7/$B$18</f>
        <v>8.3333333299990084E-2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1249628050</v>
      </c>
      <c r="C8" s="47">
        <v>292427512</v>
      </c>
      <c r="D8" s="48">
        <f>+B8/$B$18</f>
        <v>0.16666666659998017</v>
      </c>
      <c r="E8" s="187">
        <f t="shared" ref="D8:E18" si="0">+C8/$B$18</f>
        <v>3.900194033509867E-2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1874442075</v>
      </c>
      <c r="C9" s="47">
        <v>918867187</v>
      </c>
      <c r="D9" s="48">
        <f t="shared" si="0"/>
        <v>0.24999999989997024</v>
      </c>
      <c r="E9" s="187">
        <f t="shared" si="0"/>
        <v>0.12255209148465467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2499256100</v>
      </c>
      <c r="C10" s="47">
        <v>0</v>
      </c>
      <c r="D10" s="48">
        <f t="shared" si="0"/>
        <v>0.33333333319996034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3124070125</v>
      </c>
      <c r="C11" s="47">
        <v>0</v>
      </c>
      <c r="D11" s="48">
        <f t="shared" si="0"/>
        <v>0.41666666649995038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3748884150</v>
      </c>
      <c r="C12" s="47">
        <v>0</v>
      </c>
      <c r="D12" s="48">
        <f t="shared" si="0"/>
        <v>0.49999999979994048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4373698175</v>
      </c>
      <c r="C13" s="47">
        <v>0</v>
      </c>
      <c r="D13" s="48">
        <f>+B13/$B$18</f>
        <v>0.58333333309993052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4998512200</v>
      </c>
      <c r="C14" s="47">
        <v>0</v>
      </c>
      <c r="D14" s="48">
        <f t="shared" si="0"/>
        <v>0.66666666639992067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5623326225</v>
      </c>
      <c r="C15" s="47">
        <v>0</v>
      </c>
      <c r="D15" s="48">
        <f>+B15/$B$18</f>
        <v>0.74999999969991071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6248140250</v>
      </c>
      <c r="C16" s="47">
        <v>0</v>
      </c>
      <c r="D16" s="48">
        <f>+B16/$B$18</f>
        <v>0.83333333299990076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6872954275</v>
      </c>
      <c r="C17" s="47">
        <v>0</v>
      </c>
      <c r="D17" s="48">
        <f>+B17/$B$18</f>
        <v>0.91666666629989091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7">
        <f>+$B$7*12+3</f>
        <v>7497768303</v>
      </c>
      <c r="C18" s="218">
        <v>0</v>
      </c>
      <c r="D18" s="56">
        <f>+B18/$B$18</f>
        <v>1</v>
      </c>
      <c r="E18" s="219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opLeftCell="D1" zoomScale="95" zoomScaleNormal="95" workbookViewId="0">
      <selection activeCell="I5" sqref="I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7"/>
      <c r="C2" s="283" t="s">
        <v>42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2:13" ht="26.25" customHeight="1" thickBot="1" x14ac:dyDescent="0.25">
      <c r="B3" s="247"/>
      <c r="C3" s="284" t="s">
        <v>126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2:13" ht="86.25" customHeight="1" thickBot="1" x14ac:dyDescent="0.25">
      <c r="B4" s="244" t="s">
        <v>110</v>
      </c>
      <c r="C4" s="245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1" t="s">
        <v>122</v>
      </c>
      <c r="C5" s="246" t="s">
        <v>121</v>
      </c>
      <c r="D5" s="150">
        <f>'EJE DE FUNCIONAMIENTO E INVERSI'!B6</f>
        <v>7497768303</v>
      </c>
      <c r="E5" s="150">
        <v>0</v>
      </c>
      <c r="F5" s="150">
        <f>D5+E5</f>
        <v>7497768303</v>
      </c>
      <c r="G5" s="40">
        <f>'EJE DE FUNCIONAMIENTO E INVERSI'!F6</f>
        <v>4385117245</v>
      </c>
      <c r="H5" s="40">
        <f>'EJE DE FUNCIONAMIENTO E INVERSI'!G6</f>
        <v>918867187</v>
      </c>
      <c r="I5" s="40">
        <f>'EJE DE FUNCIONAMIENTO E INVERSI'!H6</f>
        <v>918867187</v>
      </c>
      <c r="J5" s="156">
        <v>1</v>
      </c>
      <c r="K5" s="156">
        <f>G5/F5</f>
        <v>0.58485632894863271</v>
      </c>
      <c r="L5" s="157">
        <f>H5/F5</f>
        <v>0.12255209148465467</v>
      </c>
      <c r="M5" s="157">
        <f>I5/F5</f>
        <v>0.12255209148465467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7497768303</v>
      </c>
      <c r="E8" s="150">
        <v>0</v>
      </c>
      <c r="F8" s="150">
        <f>SUM(F5:F7)</f>
        <v>7497768303</v>
      </c>
      <c r="G8" s="150">
        <f>+SUM(G5:G7)</f>
        <v>4385117245</v>
      </c>
      <c r="H8" s="175">
        <f>+SUM(H5:H7)</f>
        <v>918867187</v>
      </c>
      <c r="I8" s="175">
        <f>+SUM(I5:I7)</f>
        <v>918867187</v>
      </c>
      <c r="J8" s="158">
        <v>1</v>
      </c>
      <c r="K8" s="156">
        <f>G8/F8</f>
        <v>0.58485632894863271</v>
      </c>
      <c r="L8" s="157">
        <f>H8/F8</f>
        <v>0.12255209148465467</v>
      </c>
      <c r="M8" s="157">
        <f>I8/F8</f>
        <v>0.12255209148465467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6" t="s">
        <v>60</v>
      </c>
      <c r="B16" s="287"/>
      <c r="C16" s="287"/>
      <c r="D16" s="287"/>
      <c r="E16" s="287"/>
      <c r="F16" s="288"/>
    </row>
    <row r="17" spans="1:6" ht="25.5" customHeight="1" thickBot="1" x14ac:dyDescent="0.25">
      <c r="A17" s="289"/>
      <c r="B17" s="290"/>
      <c r="C17" s="290"/>
      <c r="D17" s="290"/>
      <c r="E17" s="290"/>
      <c r="F17" s="29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2" t="str">
        <f>+A16</f>
        <v>EJECUCIÓN PRESUPUESTAL
RESERVAS PRESUPUESTALES
A AGOSTO 31 DE 2015</v>
      </c>
      <c r="B31" s="293"/>
      <c r="C31" s="293"/>
      <c r="D31" s="293"/>
      <c r="E31" s="29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7" t="s">
        <v>88</v>
      </c>
      <c r="B2" s="258"/>
      <c r="C2" s="258"/>
      <c r="D2" s="258"/>
      <c r="E2" s="258"/>
      <c r="F2" s="258"/>
      <c r="G2" s="259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5" t="s">
        <v>65</v>
      </c>
      <c r="B19" s="296"/>
      <c r="C19" s="29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60" t="s">
        <v>65</v>
      </c>
      <c r="B28" s="298"/>
      <c r="C28" s="298"/>
      <c r="D28" s="261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D7" sqref="D7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7" t="s">
        <v>124</v>
      </c>
      <c r="B2" s="258"/>
      <c r="C2" s="258"/>
      <c r="D2" s="259"/>
    </row>
    <row r="3" spans="1:6" s="113" customFormat="1" ht="39" thickBot="1" x14ac:dyDescent="0.25">
      <c r="A3" s="110" t="s">
        <v>106</v>
      </c>
      <c r="B3" s="111" t="s">
        <v>123</v>
      </c>
      <c r="C3" s="112" t="s">
        <v>125</v>
      </c>
      <c r="D3" s="111" t="s">
        <v>107</v>
      </c>
    </row>
    <row r="4" spans="1:6" ht="13.5" thickBot="1" x14ac:dyDescent="0.25">
      <c r="A4" s="114" t="s">
        <v>75</v>
      </c>
      <c r="B4" s="250">
        <v>820000000</v>
      </c>
      <c r="C4" s="159">
        <f>'EJE INGRESOS'!H7</f>
        <v>245810150</v>
      </c>
      <c r="D4" s="160">
        <f>C4/B4</f>
        <v>0.29976847560975611</v>
      </c>
      <c r="E4" s="117"/>
      <c r="F4" s="170"/>
    </row>
    <row r="5" spans="1:6" ht="13.5" thickBot="1" x14ac:dyDescent="0.25">
      <c r="A5" s="114" t="s">
        <v>76</v>
      </c>
      <c r="B5" s="193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0</v>
      </c>
      <c r="C6" s="166">
        <v>0</v>
      </c>
      <c r="D6" s="160">
        <v>0</v>
      </c>
      <c r="E6" s="113"/>
    </row>
    <row r="7" spans="1:6" ht="13.5" thickBot="1" x14ac:dyDescent="0.25">
      <c r="A7" s="167" t="s">
        <v>87</v>
      </c>
      <c r="B7" s="168">
        <f>SUM(B4:B6)</f>
        <v>820000000</v>
      </c>
      <c r="C7" s="169">
        <f>SUM(C4:C6)</f>
        <v>245810150</v>
      </c>
      <c r="D7" s="184">
        <f>C7/B7</f>
        <v>0.29976847560975611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60" t="s">
        <v>108</v>
      </c>
      <c r="B10" s="261"/>
      <c r="C10" s="171"/>
    </row>
    <row r="11" spans="1:6" ht="12.75" customHeight="1" x14ac:dyDescent="0.2">
      <c r="A11" s="125" t="s">
        <v>66</v>
      </c>
      <c r="B11" s="161">
        <v>2026</v>
      </c>
      <c r="C11" s="172"/>
    </row>
    <row r="12" spans="1:6" x14ac:dyDescent="0.2">
      <c r="A12" s="99" t="s">
        <v>69</v>
      </c>
      <c r="B12" s="101">
        <f>B7</f>
        <v>820000000</v>
      </c>
      <c r="C12" s="173"/>
    </row>
    <row r="13" spans="1:6" x14ac:dyDescent="0.2">
      <c r="A13" s="162" t="s">
        <v>109</v>
      </c>
      <c r="B13" s="101">
        <f>C7</f>
        <v>245810150</v>
      </c>
      <c r="C13" s="173"/>
    </row>
    <row r="14" spans="1:6" ht="13.5" thickBot="1" x14ac:dyDescent="0.25">
      <c r="A14" s="102" t="s">
        <v>71</v>
      </c>
      <c r="B14" s="185">
        <f>+B13/B12</f>
        <v>0.29976847560975611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abSelected="1" topLeftCell="A4" workbookViewId="0">
      <selection activeCell="G6" sqref="G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2" t="s">
        <v>104</v>
      </c>
      <c r="B2" s="263"/>
      <c r="C2" s="263"/>
      <c r="D2" s="263"/>
      <c r="E2" s="263"/>
      <c r="F2" s="263"/>
      <c r="G2" s="263"/>
      <c r="H2" s="264"/>
      <c r="I2" s="14"/>
      <c r="J2" s="265" t="s">
        <v>102</v>
      </c>
      <c r="K2" s="265"/>
      <c r="L2" s="265"/>
    </row>
    <row r="3" spans="1:16" ht="13.5" customHeight="1" thickBot="1" x14ac:dyDescent="0.25">
      <c r="A3" s="251" t="s">
        <v>126</v>
      </c>
      <c r="B3" s="252"/>
      <c r="C3" s="252"/>
      <c r="D3" s="252"/>
      <c r="E3" s="252"/>
      <c r="F3" s="252"/>
      <c r="G3" s="252"/>
      <c r="H3" s="253"/>
      <c r="I3" s="14"/>
      <c r="J3" s="266"/>
      <c r="K3" s="266"/>
      <c r="L3" s="266"/>
    </row>
    <row r="4" spans="1:16" ht="93.75" customHeight="1" thickBot="1" x14ac:dyDescent="0.25">
      <c r="A4" s="1" t="s">
        <v>20</v>
      </c>
      <c r="B4" s="2" t="s">
        <v>113</v>
      </c>
      <c r="C4" s="212" t="s">
        <v>119</v>
      </c>
      <c r="D4" s="242" t="s">
        <v>120</v>
      </c>
      <c r="E4" s="228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4"/>
    </row>
    <row r="5" spans="1:16" ht="15" customHeight="1" thickBot="1" x14ac:dyDescent="0.25">
      <c r="A5" s="4" t="s">
        <v>25</v>
      </c>
      <c r="B5" s="5">
        <v>9669311369</v>
      </c>
      <c r="C5" s="5">
        <v>1643499724</v>
      </c>
      <c r="D5" s="5">
        <v>1643499724</v>
      </c>
      <c r="E5" s="230">
        <f>B5+C5-D5</f>
        <v>9669311369</v>
      </c>
      <c r="F5" s="5">
        <v>2022815963</v>
      </c>
      <c r="G5" s="5">
        <v>1267092560</v>
      </c>
      <c r="H5" s="5">
        <v>1267092560</v>
      </c>
      <c r="J5" s="208">
        <f>F5/E5</f>
        <v>0.20919958886474452</v>
      </c>
      <c r="K5" s="209">
        <f>G5/E5</f>
        <v>0.13104268873400057</v>
      </c>
      <c r="L5" s="210">
        <f>H5/E5</f>
        <v>0.13104268873400057</v>
      </c>
      <c r="M5" s="45"/>
      <c r="N5" s="238"/>
      <c r="O5" s="239"/>
      <c r="P5" s="239"/>
    </row>
    <row r="6" spans="1:16" ht="13.5" thickBot="1" x14ac:dyDescent="0.25">
      <c r="A6" s="6" t="s">
        <v>27</v>
      </c>
      <c r="B6" s="7">
        <v>7497768303</v>
      </c>
      <c r="C6" s="7">
        <v>0</v>
      </c>
      <c r="D6" s="7">
        <v>0</v>
      </c>
      <c r="E6" s="230">
        <f>B6+C6-D6</f>
        <v>7497768303</v>
      </c>
      <c r="F6" s="7">
        <v>4385117245</v>
      </c>
      <c r="G6" s="227">
        <v>918867187</v>
      </c>
      <c r="H6" s="7">
        <v>918867187</v>
      </c>
      <c r="J6" s="208">
        <f>F6/E6</f>
        <v>0.58485632894863271</v>
      </c>
      <c r="K6" s="209">
        <f>G6/E6</f>
        <v>0.12255209148465467</v>
      </c>
      <c r="L6" s="210">
        <f>H6/E6</f>
        <v>0.12255209148465467</v>
      </c>
      <c r="M6" s="45"/>
      <c r="N6" s="233"/>
      <c r="O6" s="239"/>
      <c r="P6" s="233"/>
    </row>
    <row r="7" spans="1:16" ht="13.5" thickBot="1" x14ac:dyDescent="0.25">
      <c r="A7" s="8" t="s">
        <v>89</v>
      </c>
      <c r="B7" s="197">
        <f>+SUM(B5:B6)</f>
        <v>17167079672</v>
      </c>
      <c r="C7" s="197">
        <f>+SUM(C5:C6)</f>
        <v>1643499724</v>
      </c>
      <c r="D7" s="225">
        <f>D5+D6</f>
        <v>1643499724</v>
      </c>
      <c r="E7" s="243">
        <f>SUM(E5:E6)</f>
        <v>17167079672</v>
      </c>
      <c r="F7" s="198">
        <f>+SUM(F5:F6)</f>
        <v>6407933208</v>
      </c>
      <c r="G7" s="198">
        <f t="shared" ref="G7:H7" si="0">+SUM(G5:G6)</f>
        <v>2185959747</v>
      </c>
      <c r="H7" s="198">
        <f t="shared" si="0"/>
        <v>2185959747</v>
      </c>
      <c r="J7" s="181">
        <f>F7/E7</f>
        <v>0.37326868229379301</v>
      </c>
      <c r="K7" s="182">
        <f>G7/B7</f>
        <v>0.12733439750765316</v>
      </c>
      <c r="L7" s="183">
        <f>H7/E7</f>
        <v>0.12733439750765316</v>
      </c>
      <c r="M7" s="45"/>
      <c r="N7" s="233"/>
      <c r="O7" s="239"/>
      <c r="P7" s="233"/>
    </row>
    <row r="8" spans="1:16" x14ac:dyDescent="0.2">
      <c r="N8" s="233"/>
      <c r="O8" s="239"/>
      <c r="P8" s="233"/>
    </row>
    <row r="9" spans="1:16" x14ac:dyDescent="0.2">
      <c r="N9" s="233"/>
      <c r="O9" s="239"/>
      <c r="P9" s="233"/>
    </row>
    <row r="10" spans="1:16" x14ac:dyDescent="0.2">
      <c r="N10" s="233"/>
      <c r="O10" s="239"/>
      <c r="P10" s="240"/>
    </row>
    <row r="17" spans="16:18" ht="24" customHeight="1" x14ac:dyDescent="0.2">
      <c r="P17" s="267"/>
      <c r="Q17" s="268"/>
      <c r="R17" s="269"/>
    </row>
    <row r="18" spans="16:18" ht="14.25" customHeight="1" x14ac:dyDescent="0.2">
      <c r="Q18" s="235"/>
      <c r="R18" s="237"/>
    </row>
    <row r="19" spans="16:18" x14ac:dyDescent="0.2">
      <c r="Q19" s="235"/>
      <c r="R19" s="237"/>
    </row>
    <row r="20" spans="16:18" x14ac:dyDescent="0.2">
      <c r="Q20" s="236"/>
      <c r="R20" s="237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E1" zoomScale="93" zoomScaleNormal="93" workbookViewId="0">
      <selection activeCell="I9" sqref="I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70" t="s">
        <v>103</v>
      </c>
      <c r="C2" s="270"/>
      <c r="D2" s="270"/>
      <c r="E2" s="270"/>
      <c r="F2" s="270"/>
      <c r="G2" s="270"/>
      <c r="H2" s="270"/>
      <c r="I2" s="270"/>
      <c r="J2" s="14"/>
      <c r="K2" s="14"/>
      <c r="L2" s="14"/>
    </row>
    <row r="3" spans="2:23" ht="24.75" customHeight="1" thickBot="1" x14ac:dyDescent="0.25">
      <c r="B3" s="251" t="s">
        <v>126</v>
      </c>
      <c r="C3" s="252"/>
      <c r="D3" s="252"/>
      <c r="E3" s="252"/>
      <c r="F3" s="252"/>
      <c r="G3" s="252"/>
      <c r="H3" s="252"/>
      <c r="I3" s="253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1" t="s">
        <v>119</v>
      </c>
      <c r="E4" s="242" t="s">
        <v>120</v>
      </c>
      <c r="F4" s="228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3" customFormat="1" ht="24.75" thickBot="1" x14ac:dyDescent="0.25">
      <c r="B5" s="4" t="s">
        <v>31</v>
      </c>
      <c r="C5" s="5">
        <v>4767558000</v>
      </c>
      <c r="D5" s="226">
        <v>0</v>
      </c>
      <c r="E5" s="5">
        <v>0</v>
      </c>
      <c r="F5" s="229">
        <f>C5+D5-E5</f>
        <v>4767558000</v>
      </c>
      <c r="G5" s="5">
        <v>908187727</v>
      </c>
      <c r="H5" s="5">
        <v>899454538</v>
      </c>
      <c r="I5" s="5">
        <v>899454538</v>
      </c>
      <c r="J5" s="14"/>
      <c r="K5" s="208">
        <f>G5/F5</f>
        <v>0.19049327286631856</v>
      </c>
      <c r="L5" s="208">
        <f>H5/F5</f>
        <v>0.18866147784672993</v>
      </c>
      <c r="M5" s="208">
        <f>I5/F5</f>
        <v>0.18866147784672993</v>
      </c>
      <c r="O5" s="214"/>
      <c r="P5" s="214"/>
    </row>
    <row r="6" spans="2:23" ht="24.75" thickBot="1" x14ac:dyDescent="0.25">
      <c r="B6" s="4" t="s">
        <v>112</v>
      </c>
      <c r="C6" s="5">
        <v>1266159144</v>
      </c>
      <c r="D6" s="5">
        <v>1643499724</v>
      </c>
      <c r="E6" s="5">
        <v>0</v>
      </c>
      <c r="F6" s="229">
        <f>C6+D6-E6</f>
        <v>2909658868</v>
      </c>
      <c r="G6" s="5">
        <v>981557177</v>
      </c>
      <c r="H6" s="5">
        <v>327646812</v>
      </c>
      <c r="I6" s="5">
        <v>327646812</v>
      </c>
      <c r="J6" s="14"/>
      <c r="K6" s="208">
        <f>G6/F6</f>
        <v>0.33734441786115249</v>
      </c>
      <c r="L6" s="208">
        <f>H6/F6</f>
        <v>0.11260660677559539</v>
      </c>
      <c r="M6" s="208">
        <f>I6/F6</f>
        <v>0.11260660677559539</v>
      </c>
      <c r="O6" s="45"/>
    </row>
    <row r="7" spans="2:23" ht="24.75" thickBot="1" x14ac:dyDescent="0.25">
      <c r="B7" s="4" t="s">
        <v>111</v>
      </c>
      <c r="C7" s="5">
        <v>3635594225</v>
      </c>
      <c r="D7" s="5">
        <v>0</v>
      </c>
      <c r="E7" s="5">
        <v>1643499724</v>
      </c>
      <c r="F7" s="229">
        <f>C7+D7-E7</f>
        <v>1992094501</v>
      </c>
      <c r="G7" s="5">
        <v>133071059</v>
      </c>
      <c r="H7" s="5">
        <v>39991210</v>
      </c>
      <c r="I7" s="5">
        <v>39991210</v>
      </c>
      <c r="J7" s="14"/>
      <c r="K7" s="208">
        <f>G7/F7</f>
        <v>6.6799571472739086E-2</v>
      </c>
      <c r="L7" s="208">
        <f>H7/F7</f>
        <v>2.0074956273372094E-2</v>
      </c>
      <c r="M7" s="208">
        <f>I7/F7</f>
        <v>2.0074956273372094E-2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0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8" t="e">
        <f>G8/F8</f>
        <v>#DIV/0!</v>
      </c>
      <c r="L8" s="208" t="e">
        <f>H8/F8</f>
        <v>#DIV/0!</v>
      </c>
      <c r="M8" s="208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7497768303</v>
      </c>
      <c r="D9" s="7">
        <f>'EJE DE FUNCIONAMIENTO E INVERSI'!C6</f>
        <v>0</v>
      </c>
      <c r="E9" s="7">
        <v>0</v>
      </c>
      <c r="F9" s="231">
        <f>'EJE DE FUNCIONAMIENTO E INVERSI'!E6</f>
        <v>7497768303</v>
      </c>
      <c r="G9" s="7">
        <f>'EJE DE FUNCIONAMIENTO E INVERSI'!F6</f>
        <v>4385117245</v>
      </c>
      <c r="H9" s="7">
        <f>'EJE DE FUNCIONAMIENTO E INVERSI'!G6</f>
        <v>918867187</v>
      </c>
      <c r="I9" s="7">
        <f>'EJE DE FUNCIONAMIENTO E INVERSI'!H6</f>
        <v>918867187</v>
      </c>
      <c r="J9" s="14"/>
      <c r="K9" s="208">
        <f>G9/F9</f>
        <v>0.58485632894863271</v>
      </c>
      <c r="L9" s="208">
        <f>H9/F9</f>
        <v>0.12255209148465467</v>
      </c>
      <c r="M9" s="208">
        <f>I9/F9</f>
        <v>0.12255209148465467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0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17167079672</v>
      </c>
      <c r="D11" s="9">
        <f>+SUM(D5:D10)</f>
        <v>1643499724</v>
      </c>
      <c r="E11" s="9">
        <f>E5+E6+E7+E8+E9</f>
        <v>1643499724</v>
      </c>
      <c r="F11" s="232">
        <f t="shared" ref="F11" si="4">+SUM(F5:F10)</f>
        <v>17167079672</v>
      </c>
      <c r="G11" s="9">
        <f>+SUM(G5:G10)</f>
        <v>6407933208</v>
      </c>
      <c r="H11" s="9">
        <f>+SUM(H5:H10)</f>
        <v>2185959747</v>
      </c>
      <c r="I11" s="9">
        <f>+SUM(I5:I10)</f>
        <v>2185959747</v>
      </c>
      <c r="J11" s="14"/>
      <c r="K11" s="181">
        <f>G11/F11</f>
        <v>0.37326868229379301</v>
      </c>
      <c r="L11" s="181">
        <f>H11/F11</f>
        <v>0.12733439750765316</v>
      </c>
      <c r="M11" s="181">
        <f>I11/F11</f>
        <v>0.12733439750765316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3"/>
      <c r="O13" s="271"/>
      <c r="P13" s="271"/>
      <c r="Q13" s="271"/>
      <c r="R13" s="271"/>
      <c r="S13" s="271"/>
      <c r="T13" s="271"/>
      <c r="U13" s="271"/>
      <c r="V13" s="271"/>
      <c r="W13" s="233"/>
    </row>
    <row r="14" spans="2:23" x14ac:dyDescent="0.2">
      <c r="N14" s="233"/>
      <c r="O14" s="233"/>
      <c r="P14" s="233"/>
      <c r="Q14" s="233"/>
      <c r="R14" s="233"/>
      <c r="S14" s="233"/>
      <c r="T14" s="233"/>
      <c r="U14" s="233"/>
      <c r="V14" s="233"/>
      <c r="W14" s="233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2" t="s">
        <v>19</v>
      </c>
      <c r="B2" s="273"/>
      <c r="C2" s="273"/>
      <c r="D2" s="273"/>
    </row>
    <row r="3" spans="1:4" ht="27" customHeight="1" x14ac:dyDescent="0.25">
      <c r="A3" s="273"/>
      <c r="B3" s="273"/>
      <c r="C3" s="273"/>
      <c r="D3" s="273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10" workbookViewId="0">
      <selection activeCell="C9" sqref="C9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4" t="s">
        <v>127</v>
      </c>
      <c r="B4" s="275"/>
      <c r="C4" s="275"/>
      <c r="D4" s="275"/>
      <c r="E4" s="276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397296500</v>
      </c>
      <c r="C6" s="30">
        <v>178575850</v>
      </c>
      <c r="D6" s="31">
        <f>+B6/$B$17</f>
        <v>8.3333333333333329E-2</v>
      </c>
      <c r="E6" s="177">
        <f>+C6/$B$17</f>
        <v>3.7456460938702793E-2</v>
      </c>
    </row>
    <row r="7" spans="1:5" x14ac:dyDescent="0.2">
      <c r="A7" s="22" t="s">
        <v>7</v>
      </c>
      <c r="B7" s="19">
        <f>+$B$6*2</f>
        <v>794593000</v>
      </c>
      <c r="C7" s="19">
        <v>617816272</v>
      </c>
      <c r="D7" s="20">
        <f t="shared" ref="D7:D17" si="0">+B7/$B$17</f>
        <v>0.16666666666666666</v>
      </c>
      <c r="E7" s="179">
        <f t="shared" ref="E7:E17" si="1">+C7/$B$17</f>
        <v>0.12958757334467666</v>
      </c>
    </row>
    <row r="8" spans="1:5" x14ac:dyDescent="0.2">
      <c r="A8" s="22" t="s">
        <v>8</v>
      </c>
      <c r="B8" s="19">
        <f>+$B$6*3</f>
        <v>1191889500</v>
      </c>
      <c r="C8" s="19">
        <v>899454538</v>
      </c>
      <c r="D8" s="20">
        <f t="shared" si="0"/>
        <v>0.25</v>
      </c>
      <c r="E8" s="179">
        <f t="shared" si="1"/>
        <v>0.18866147784672993</v>
      </c>
    </row>
    <row r="9" spans="1:5" x14ac:dyDescent="0.2">
      <c r="A9" s="22" t="s">
        <v>9</v>
      </c>
      <c r="B9" s="19">
        <f>+$B$6*4</f>
        <v>1589186000</v>
      </c>
      <c r="C9" s="19">
        <v>0</v>
      </c>
      <c r="D9" s="20">
        <f t="shared" si="0"/>
        <v>0.33333333333333331</v>
      </c>
      <c r="E9" s="179">
        <f t="shared" si="1"/>
        <v>0</v>
      </c>
    </row>
    <row r="10" spans="1:5" x14ac:dyDescent="0.2">
      <c r="A10" s="22" t="s">
        <v>10</v>
      </c>
      <c r="B10" s="19">
        <f>+$B$6*5</f>
        <v>1986482500</v>
      </c>
      <c r="C10" s="19">
        <v>0</v>
      </c>
      <c r="D10" s="20">
        <f t="shared" si="0"/>
        <v>0.41666666666666669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2383779000</v>
      </c>
      <c r="C11" s="19">
        <v>0</v>
      </c>
      <c r="D11" s="20">
        <f t="shared" si="0"/>
        <v>0.5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2781075500</v>
      </c>
      <c r="C12" s="19">
        <v>0</v>
      </c>
      <c r="D12" s="20">
        <f t="shared" si="0"/>
        <v>0.58333333333333337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3178372000</v>
      </c>
      <c r="C13" s="19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3575668500</v>
      </c>
      <c r="C14" s="19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3972965000</v>
      </c>
      <c r="C15" s="19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4370261500</v>
      </c>
      <c r="C16" s="215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</f>
        <v>4767558000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194"/>
      <c r="D19" s="194"/>
    </row>
    <row r="20" spans="1:5" x14ac:dyDescent="0.2">
      <c r="A20" s="196"/>
      <c r="B20" s="13"/>
    </row>
    <row r="21" spans="1:5" x14ac:dyDescent="0.2">
      <c r="B21" s="13"/>
      <c r="C21" s="194"/>
      <c r="D21" s="195"/>
    </row>
    <row r="22" spans="1:5" x14ac:dyDescent="0.2">
      <c r="B22" s="13"/>
      <c r="D22" s="196"/>
    </row>
    <row r="23" spans="1:5" x14ac:dyDescent="0.2">
      <c r="B23" s="13"/>
      <c r="D23" s="196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topLeftCell="A4" workbookViewId="0">
      <selection activeCell="C9" sqref="C9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7" t="s">
        <v>128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105513262</v>
      </c>
      <c r="C6" s="21">
        <v>7532079</v>
      </c>
      <c r="D6" s="20">
        <f>+B6/$B$17</f>
        <v>8.3333333333333329E-2</v>
      </c>
      <c r="E6" s="179">
        <f>+C6/$B$17</f>
        <v>5.9487616826783352E-3</v>
      </c>
    </row>
    <row r="7" spans="1:5" x14ac:dyDescent="0.2">
      <c r="A7" s="22" t="s">
        <v>7</v>
      </c>
      <c r="B7" s="190">
        <f>+$B$6*2</f>
        <v>211026524</v>
      </c>
      <c r="C7" s="21">
        <v>169313094</v>
      </c>
      <c r="D7" s="20">
        <f t="shared" ref="D7:D17" si="0">+B7/$B$17</f>
        <v>0.16666666666666666</v>
      </c>
      <c r="E7" s="179">
        <f t="shared" ref="E7:E17" si="1">+C7/$B$17</f>
        <v>0.13372181119753457</v>
      </c>
    </row>
    <row r="8" spans="1:5" x14ac:dyDescent="0.2">
      <c r="A8" s="22" t="s">
        <v>8</v>
      </c>
      <c r="B8" s="190">
        <f>+$B$6*3</f>
        <v>316539786</v>
      </c>
      <c r="C8" s="21">
        <v>327646812</v>
      </c>
      <c r="D8" s="20">
        <f t="shared" si="0"/>
        <v>0.25</v>
      </c>
      <c r="E8" s="179">
        <f t="shared" si="1"/>
        <v>0.25877221955283686</v>
      </c>
    </row>
    <row r="9" spans="1:5" x14ac:dyDescent="0.2">
      <c r="A9" s="22" t="s">
        <v>9</v>
      </c>
      <c r="B9" s="190">
        <f>+$B$6*4</f>
        <v>422053048</v>
      </c>
      <c r="C9" s="21">
        <v>0</v>
      </c>
      <c r="D9" s="20">
        <f t="shared" si="0"/>
        <v>0.33333333333333331</v>
      </c>
      <c r="E9" s="179">
        <f t="shared" si="1"/>
        <v>0</v>
      </c>
    </row>
    <row r="10" spans="1:5" x14ac:dyDescent="0.2">
      <c r="A10" s="22" t="s">
        <v>10</v>
      </c>
      <c r="B10" s="190">
        <f>+$B$6*5</f>
        <v>527566310</v>
      </c>
      <c r="C10" s="21">
        <v>0</v>
      </c>
      <c r="D10" s="20">
        <f t="shared" si="0"/>
        <v>0.41666666666666669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633079572</v>
      </c>
      <c r="C11" s="21">
        <v>0</v>
      </c>
      <c r="D11" s="20">
        <f t="shared" si="0"/>
        <v>0.5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738592834</v>
      </c>
      <c r="C12" s="21">
        <v>0</v>
      </c>
      <c r="D12" s="20">
        <f t="shared" si="0"/>
        <v>0.58333333333333337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844106096</v>
      </c>
      <c r="C13" s="21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949619358</v>
      </c>
      <c r="C14" s="21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1055132620</v>
      </c>
      <c r="C15" s="21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1160645882</v>
      </c>
      <c r="C16" s="21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39" t="s">
        <v>17</v>
      </c>
      <c r="B17" s="217">
        <f>+$B$6*12</f>
        <v>1266159144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5"/>
    </row>
    <row r="19" spans="1:5" x14ac:dyDescent="0.2">
      <c r="B19" s="13"/>
      <c r="C19" s="216"/>
      <c r="D19" s="194"/>
    </row>
    <row r="20" spans="1:5" x14ac:dyDescent="0.2">
      <c r="B20" s="13"/>
      <c r="C20" s="216"/>
    </row>
    <row r="21" spans="1:5" x14ac:dyDescent="0.2">
      <c r="B21" s="13"/>
      <c r="C21" s="194"/>
      <c r="D21" s="195"/>
    </row>
    <row r="22" spans="1:5" x14ac:dyDescent="0.2">
      <c r="B22" s="13"/>
      <c r="D22" s="195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7" t="s">
        <v>33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7" t="s">
        <v>34</v>
      </c>
      <c r="B5" s="278"/>
      <c r="C5" s="278"/>
      <c r="D5" s="278"/>
      <c r="E5" s="279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Lynne Anne Davis Sjogreen</cp:lastModifiedBy>
  <cp:lastPrinted>2023-10-25T13:25:18Z</cp:lastPrinted>
  <dcterms:created xsi:type="dcterms:W3CDTF">2015-09-23T21:56:21Z</dcterms:created>
  <dcterms:modified xsi:type="dcterms:W3CDTF">2026-07-06T18:23:51Z</dcterms:modified>
</cp:coreProperties>
</file>