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5\PRESUPUESTO 2025\CONSEJO DIRECTIVO 2025\11-NOVIEMBRE 2025\"/>
    </mc:Choice>
  </mc:AlternateContent>
  <xr:revisionPtr revIDLastSave="0" documentId="13_ncr:1_{84506F96-688F-4862-A16F-6E129531AB6B}" xr6:coauthVersionLast="36" xr6:coauthVersionMax="36" xr10:uidLastSave="{00000000-0000-0000-0000-000000000000}"/>
  <bookViews>
    <workbookView xWindow="0" yWindow="0" windowWidth="28800" windowHeight="12225" tabRatio="945" activeTab="3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5" l="1"/>
  <c r="E8" i="15" l="1"/>
  <c r="D8" i="15"/>
  <c r="B17" i="6" l="1"/>
  <c r="G7" i="1" l="1"/>
  <c r="H7" i="1"/>
  <c r="D13" i="10" l="1"/>
  <c r="I5" i="11" l="1"/>
  <c r="H5" i="11"/>
  <c r="F5" i="11" l="1"/>
  <c r="G5" i="11" l="1"/>
  <c r="K5" i="11" s="1"/>
  <c r="D5" i="11"/>
  <c r="B18" i="10"/>
  <c r="D4" i="9"/>
  <c r="B17" i="5"/>
  <c r="F4" i="9" l="1"/>
  <c r="I8" i="11" l="1"/>
  <c r="B16" i="6" l="1"/>
  <c r="F7" i="1" l="1"/>
  <c r="B15" i="5" l="1"/>
  <c r="F7" i="4" l="1"/>
  <c r="F6" i="4"/>
  <c r="F5" i="4"/>
  <c r="E5" i="1" l="1"/>
  <c r="C4" i="16" l="1"/>
  <c r="B7" i="5" l="1"/>
  <c r="B7" i="1" l="1"/>
  <c r="C7" i="1"/>
  <c r="D6" i="16"/>
  <c r="K6" i="11" l="1"/>
  <c r="L6" i="11"/>
  <c r="M6" i="11"/>
  <c r="K7" i="11"/>
  <c r="L7" i="11"/>
  <c r="M7" i="11"/>
  <c r="D6" i="6"/>
  <c r="B10" i="10"/>
  <c r="B17" i="10"/>
  <c r="B16" i="10"/>
  <c r="B15" i="10"/>
  <c r="B9" i="10"/>
  <c r="B8" i="10"/>
  <c r="B11" i="10"/>
  <c r="B12" i="10"/>
  <c r="B13" i="10"/>
  <c r="B14" i="5"/>
  <c r="B12" i="5"/>
  <c r="B13" i="5"/>
  <c r="B16" i="5"/>
  <c r="L5" i="11" l="1"/>
  <c r="F8" i="11"/>
  <c r="M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L7" i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PRESUPUESTO</author>
    <author>CONTABILIDAD</author>
  </authors>
  <commentList>
    <comment ref="F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<sst xmlns="http://schemas.openxmlformats.org/spreadsheetml/2006/main" count="283" uniqueCount="131">
  <si>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</si>
  <si>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</si>
  <si>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</si>
  <si>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</si>
  <si>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</si>
  <si>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</si>
  <si>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</si>
  <si>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</si>
  <si>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</si>
  <si>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</si>
  <si>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</si>
  <si>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</si>
  <si>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</si>
  <si>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</si>
  <si>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</si>
  <si>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</si>
  <si>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</si>
  <si>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</si>
  <si>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</si>
  <si>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</si>
  <si>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</si>
  <si>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</si>
  <si>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</si>
  <si>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</si>
  <si>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</si>
  <si>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</si>
  <si>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</si>
  <si>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</si>
  <si>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</si>
  <si>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</si>
  <si>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</si>
  <si>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</si>
  <si>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</si>
  <si>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</si>
  <si>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</si>
  <si>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</si>
  <si>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</si>
  <si>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</si>
  <si>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</si>
  <si>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</si>
  <si>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</si>
  <si>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</si>
  <si>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</si>
  <si>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</si>
  <si>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</si>
  <si>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</si>
  <si>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</si>
  <si>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</si>
  <si>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</si>
  <si>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</si>
  <si>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</si>
  <si>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</si>
  <si>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</si>
  <si>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</si>
  <si>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</si>
  <si>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</si>
  <si>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</si>
  <si>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</si>
  <si>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</si>
  <si>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</si>
  <si>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</si>
  <si>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</si>
  <si>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</si>
  <si>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</si>
  <si>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</si>
  <si>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</si>
  <si>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</si>
  <si>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</si>
  <si>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</si>
  <si>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</si>
  <si>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</si>
  <si>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</si>
  <si>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</si>
  <si>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</si>
  <si>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</si>
  <si>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</si>
  <si>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</si>
  <si>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</si>
  <si>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</si>
  <si>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</si>
  <si>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</si>
  <si>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</si>
  <si>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</si>
  <si>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</si>
  <si>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</si>
  <si>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</si>
  <si>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</si>
  <si>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</si>
  <si>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</si>
  <si>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</si>
  <si>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</si>
  <si>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</si>
  <si>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</si>
  <si>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</si>
  <si>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</si>
  <si>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</si>
  <si>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</si>
  <si>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</si>
  <si>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</si>
  <si>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</si>
  <si>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</si>
  <si>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</si>
  <si>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</si>
  <si>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</si>
  <si>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</si>
  <si>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</si>
  <si>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</si>
  <si>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</si>
  <si>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</si>
  <si>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</si>
  <si>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</si>
  <si>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</si>
  <si>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</si>
  <si>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</si>
  <si>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</si>
  <si>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</si>
  <si>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</si>
  <si>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</si>
  <si>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</si>
  <si>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</si>
  <si>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</si>
  <si>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</si>
  <si>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2. SEGURIDAD HUMANA Y JUSTICIA SOCIAL / K. EDUCACIÓN SUPERIOR COMO UN DERECHO</t>
  </si>
  <si>
    <t>C-2202-0700-8 20203K</t>
  </si>
  <si>
    <t>EJECUCIÓN PRESUPUESTAL DE INGRESOS RECURSO PROPIOS
ENERO 2024 - DICIEMBRE 31   2025.</t>
  </si>
  <si>
    <t xml:space="preserve">Presupuesto Definitivo 2025 (2)
</t>
  </si>
  <si>
    <t>CON CORTE NOVIEMBRE 30 DE 2025</t>
  </si>
  <si>
    <t>EJECUCIÓN PRESUPUESTAL 
GASTOS DE PERSONAL 
CON CORTE NOVIEMBRE 30 DE 2025</t>
  </si>
  <si>
    <t>EJECUCIÓN PRESUPUESTAL
ADQUISICIÓN BIENES Y SERVICIOS
CON CORTE NOVIEMBRE 30 DE 2025</t>
  </si>
  <si>
    <t>Ejecución Presupuestal - Proyectos de Inversión
CON CORTE NOVIEMBRE 30 DE 2025</t>
  </si>
  <si>
    <t>EJECUCIÓN PRESUPUESTAL 
PROYECTOS DE INVERSIÓN
CON CORTE NOVIEMBRE 30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</si>
</sst>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&quot;$&quot;\ * #,##0_-;\-&quot;$&quot;\ * #,##0_-;_-&quot;$&quot;\ * &quot;-&quot;_-;_-@_-"/>
    <numFmt numFmtId="165" formatCode="_-* #,##0_-;\-* #,##0_-;_-* &quot;-&quot;_-;_-@_-"/>
    <numFmt numFmtId="166" formatCode="_-&quot;$&quot;\ * #,##0.00_-;\-&quot;$&quot;\ * #,##0.00_-;_-&quot;$&quot;\ * &quot;-&quot;??_-;_-@_-"/>
    <numFmt numFmtId="167" formatCode="_-* #,##0.00_-;\-* #,##0.00_-;_-* &quot;-&quot;??_-;_-@_-"/>
    <numFmt numFmtId="168" formatCode="_(&quot;$&quot;\ * #,##0_);_(&quot;$&quot;\ * \(#,##0\);_(&quot;$&quot;\ * &quot;-&quot;_);_(@_)"/>
    <numFmt numFmtId="169" formatCode="_(* #,##0.00_);_(* \(#,##0.00\);_(* &quot;-&quot;??_);_(@_)"/>
    <numFmt numFmtId="170" formatCode="0.0%"/>
    <numFmt numFmtId="171" formatCode="_-* #,##0_-;\-* #,##0_-;_-* &quot;-&quot;??_-;_-@_-"/>
    <numFmt numFmtId="172" formatCode="_-* #,##0.0_-;\-* #,##0.0_-;_-* &quot;-&quot;??_-;_-@_-"/>
    <numFmt numFmtId="173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</cellStyleXfs>
  <cellXfs count="299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72" fontId="0" fillId="0" borderId="0" xfId="5" applyNumberFormat="1" applyFont="1"/>
    <xf numFmtId="167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71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71" fontId="0" fillId="0" borderId="5" xfId="0" applyNumberFormat="1" applyBorder="1"/>
    <xf numFmtId="9" fontId="0" fillId="0" borderId="5" xfId="1" applyFont="1" applyBorder="1"/>
    <xf numFmtId="167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71" fontId="0" fillId="0" borderId="13" xfId="0" applyNumberFormat="1" applyBorder="1"/>
    <xf numFmtId="167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71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71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71" fontId="7" fillId="0" borderId="30" xfId="6" applyNumberFormat="1" applyBorder="1">
      <alignment vertical="top"/>
    </xf>
    <xf numFmtId="171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71" fontId="7" fillId="0" borderId="35" xfId="6" applyNumberFormat="1" applyBorder="1">
      <alignment vertical="top"/>
    </xf>
    <xf numFmtId="171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71" fontId="8" fillId="0" borderId="37" xfId="6" applyNumberFormat="1" applyFont="1" applyBorder="1">
      <alignment vertical="top"/>
    </xf>
    <xf numFmtId="171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71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71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71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71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8" fontId="0" fillId="0" borderId="47" xfId="9" applyNumberFormat="1" applyFont="1" applyBorder="1"/>
    <xf numFmtId="168" fontId="0" fillId="0" borderId="48" xfId="9" applyNumberFormat="1" applyFont="1" applyBorder="1"/>
    <xf numFmtId="0" fontId="0" fillId="0" borderId="51" xfId="0" applyBorder="1"/>
    <xf numFmtId="168" fontId="0" fillId="0" borderId="52" xfId="9" applyNumberFormat="1" applyFont="1" applyBorder="1"/>
    <xf numFmtId="168" fontId="0" fillId="0" borderId="53" xfId="9" applyNumberFormat="1" applyFont="1" applyBorder="1"/>
    <xf numFmtId="0" fontId="0" fillId="6" borderId="45" xfId="0" applyFill="1" applyBorder="1"/>
    <xf numFmtId="168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9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70" fontId="6" fillId="2" borderId="2" xfId="1" applyNumberFormat="1" applyFont="1" applyFill="1" applyBorder="1" applyAlignment="1">
      <alignment horizontal="center" vertical="center"/>
    </xf>
    <xf numFmtId="170" fontId="6" fillId="2" borderId="3" xfId="1" applyNumberFormat="1" applyFont="1" applyFill="1" applyBorder="1" applyAlignment="1">
      <alignment horizontal="center" vertical="center"/>
    </xf>
    <xf numFmtId="170" fontId="6" fillId="2" borderId="55" xfId="1" applyNumberFormat="1" applyFont="1" applyFill="1" applyBorder="1" applyAlignment="1">
      <alignment horizontal="center" vertical="center"/>
    </xf>
    <xf numFmtId="169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8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9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9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9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8" fontId="15" fillId="0" borderId="47" xfId="9" applyNumberFormat="1" applyFont="1" applyFill="1" applyBorder="1"/>
    <xf numFmtId="165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9" fontId="13" fillId="0" borderId="1" xfId="9" applyFont="1" applyBorder="1" applyAlignment="1">
      <alignment horizontal="right" vertical="center" wrapText="1"/>
    </xf>
    <xf numFmtId="169" fontId="13" fillId="0" borderId="4" xfId="9" applyFont="1" applyBorder="1" applyAlignment="1">
      <alignment horizontal="right" vertical="center" wrapText="1"/>
    </xf>
    <xf numFmtId="165" fontId="0" fillId="0" borderId="0" xfId="10" applyFont="1"/>
    <xf numFmtId="165" fontId="0" fillId="0" borderId="0" xfId="0" applyNumberFormat="1"/>
    <xf numFmtId="171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8" fontId="0" fillId="6" borderId="41" xfId="9" applyNumberFormat="1" applyFont="1" applyFill="1" applyBorder="1"/>
    <xf numFmtId="168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8" fontId="0" fillId="0" borderId="5" xfId="9" applyNumberFormat="1" applyFont="1" applyBorder="1"/>
    <xf numFmtId="168" fontId="0" fillId="0" borderId="7" xfId="9" applyNumberFormat="1" applyFont="1" applyBorder="1"/>
    <xf numFmtId="168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71" fontId="0" fillId="0" borderId="5" xfId="0" applyNumberFormat="1" applyFont="1" applyBorder="1"/>
    <xf numFmtId="167" fontId="0" fillId="0" borderId="0" xfId="0" applyNumberFormat="1" applyFill="1" applyBorder="1"/>
    <xf numFmtId="165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164" fontId="0" fillId="0" borderId="5" xfId="11" applyFont="1" applyBorder="1"/>
    <xf numFmtId="164" fontId="0" fillId="0" borderId="52" xfId="11" applyFont="1" applyBorder="1"/>
    <xf numFmtId="164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8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166" fontId="0" fillId="0" borderId="0" xfId="12" applyFont="1"/>
    <xf numFmtId="166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9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7" fontId="0" fillId="0" borderId="0" xfId="0" applyNumberFormat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71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1733762853</c:v>
                </c:pt>
                <c:pt idx="1">
                  <c:v>15231571505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9.3825764876541415E-2</c:v>
                </c:pt>
                <c:pt idx="1">
                  <c:v>0.90617423512345863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NOVIEMBRE 30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8.3333333282174585E-2</c:v>
                </c:pt>
                <c:pt idx="1">
                  <c:v>0.16666666656434917</c:v>
                </c:pt>
                <c:pt idx="2">
                  <c:v>0.24999999984652374</c:v>
                </c:pt>
                <c:pt idx="3">
                  <c:v>0.33333333312869834</c:v>
                </c:pt>
                <c:pt idx="4">
                  <c:v>0.41666666641087291</c:v>
                </c:pt>
                <c:pt idx="5">
                  <c:v>0.49999999969304748</c:v>
                </c:pt>
                <c:pt idx="6">
                  <c:v>0.58333333297522205</c:v>
                </c:pt>
                <c:pt idx="7">
                  <c:v>0.66666666625739668</c:v>
                </c:pt>
                <c:pt idx="8">
                  <c:v>0.74999999953957119</c:v>
                </c:pt>
                <c:pt idx="9">
                  <c:v>0.83333333282174582</c:v>
                </c:pt>
                <c:pt idx="10">
                  <c:v>0.91666666610392034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1.5413270894672308E-3</c:v>
                </c:pt>
                <c:pt idx="1">
                  <c:v>2.1950869891277751E-2</c:v>
                </c:pt>
                <c:pt idx="2">
                  <c:v>5.4976694362826845E-2</c:v>
                </c:pt>
                <c:pt idx="3">
                  <c:v>9.1444592314319256E-2</c:v>
                </c:pt>
                <c:pt idx="4">
                  <c:v>0.12865849518907513</c:v>
                </c:pt>
                <c:pt idx="5">
                  <c:v>0.15368547216665854</c:v>
                </c:pt>
                <c:pt idx="6">
                  <c:v>0.20231462434821787</c:v>
                </c:pt>
                <c:pt idx="7">
                  <c:v>0.25022074352388335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NOVIEMBRE 30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_-* #.##0_-;\-* #.##0_-;_-* "-"_-;_-@_-</c:formatCode>
                <c:ptCount val="12"/>
                <c:pt idx="0">
                  <c:v>407229104</c:v>
                </c:pt>
                <c:pt idx="1">
                  <c:v>814458208</c:v>
                </c:pt>
                <c:pt idx="2">
                  <c:v>1221687312</c:v>
                </c:pt>
                <c:pt idx="3">
                  <c:v>1628916416</c:v>
                </c:pt>
                <c:pt idx="4">
                  <c:v>2036145520</c:v>
                </c:pt>
                <c:pt idx="5">
                  <c:v>2443374624</c:v>
                </c:pt>
                <c:pt idx="6">
                  <c:v>2850603728</c:v>
                </c:pt>
                <c:pt idx="7">
                  <c:v>3257832832</c:v>
                </c:pt>
                <c:pt idx="8">
                  <c:v>3665061936</c:v>
                </c:pt>
                <c:pt idx="9">
                  <c:v>4072291040</c:v>
                </c:pt>
                <c:pt idx="10">
                  <c:v>4479520144</c:v>
                </c:pt>
                <c:pt idx="11">
                  <c:v>4886749251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_-* #.##0.00_-;\-* #.##0.00_-;_-* "-"??_-;_-@_-</c:formatCode>
                <c:ptCount val="12"/>
                <c:pt idx="0">
                  <c:v>7532079</c:v>
                </c:pt>
                <c:pt idx="1">
                  <c:v>107268397</c:v>
                </c:pt>
                <c:pt idx="2">
                  <c:v>268657320</c:v>
                </c:pt>
                <c:pt idx="3">
                  <c:v>446866793</c:v>
                </c:pt>
                <c:pt idx="4">
                  <c:v>628721805</c:v>
                </c:pt>
                <c:pt idx="5">
                  <c:v>751022366</c:v>
                </c:pt>
                <c:pt idx="6">
                  <c:v>988660839</c:v>
                </c:pt>
                <c:pt idx="7">
                  <c:v>1222766031</c:v>
                </c:pt>
                <c:pt idx="8">
                  <c:v>1600626290</c:v>
                </c:pt>
                <c:pt idx="9">
                  <c:v>1976691941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_-* #.##0.00_-;\-* #.##0.00_-;_-*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_-* #.##0.00_-;\-* #.##0.00_-;_-*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.00_-;\-* #.##0.0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NOVIEMBRE 30 DE 2025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8217481969</c:v>
                </c:pt>
                <c:pt idx="1">
                  <c:v>8217481969</c:v>
                </c:pt>
                <c:pt idx="2">
                  <c:v>4037146344</c:v>
                </c:pt>
                <c:pt idx="3" formatCode="0.00%">
                  <c:v>0.49128752082814581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cap="all" baseline="0">
                <a:effectLst/>
              </a:rPr>
              <a:t>CON CORTE NOVIEMBRE 30 DE 2025</a:t>
            </a:r>
            <a:endParaRPr lang="es-CO">
              <a:effectLst/>
            </a:endParaRPr>
          </a:p>
        </c:rich>
      </c:tx>
      <c:layout>
        <c:manualLayout>
          <c:xMode val="edge"/>
          <c:yMode val="edge"/>
          <c:x val="0.37089869281045756"/>
          <c:y val="2.6272575279203004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8.3333333323192357E-2</c:v>
                </c:pt>
                <c:pt idx="1">
                  <c:v>0.16666666664638471</c:v>
                </c:pt>
                <c:pt idx="2">
                  <c:v>0.24999999996957706</c:v>
                </c:pt>
                <c:pt idx="3">
                  <c:v>0.33333333329276943</c:v>
                </c:pt>
                <c:pt idx="4">
                  <c:v>0.41666666661596174</c:v>
                </c:pt>
                <c:pt idx="5">
                  <c:v>0.49999999993915412</c:v>
                </c:pt>
                <c:pt idx="6">
                  <c:v>0.58333333326234649</c:v>
                </c:pt>
                <c:pt idx="7">
                  <c:v>0.66666666658553886</c:v>
                </c:pt>
                <c:pt idx="8">
                  <c:v>0.74999999990873112</c:v>
                </c:pt>
                <c:pt idx="9">
                  <c:v>0.83333333323192349</c:v>
                </c:pt>
                <c:pt idx="10">
                  <c:v>0.91666666655511586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4.4606453824030286E-3</c:v>
                </c:pt>
                <c:pt idx="2">
                  <c:v>4.9794322706593577E-2</c:v>
                </c:pt>
                <c:pt idx="3">
                  <c:v>8.1923972396853825E-2</c:v>
                </c:pt>
                <c:pt idx="4">
                  <c:v>0.12903230283923972</c:v>
                </c:pt>
                <c:pt idx="5">
                  <c:v>0.19066727495243502</c:v>
                </c:pt>
                <c:pt idx="6">
                  <c:v>0.27631143269503411</c:v>
                </c:pt>
                <c:pt idx="7">
                  <c:v>0.34095017324886812</c:v>
                </c:pt>
                <c:pt idx="8">
                  <c:v>0.43353768410319221</c:v>
                </c:pt>
                <c:pt idx="9">
                  <c:v>0.48931611181731821</c:v>
                </c:pt>
                <c:pt idx="10">
                  <c:v>0.49128752082814581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8217481969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7169947918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4037146344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4037146344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NOVIEMBRE 30 DE 2025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0.87252371773351434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0.49128752082814581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0.49128752082814581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866789515</c:v>
                </c:pt>
                <c:pt idx="1">
                  <c:v>10099799539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5.1091802655293117E-2</c:v>
                </c:pt>
                <c:pt idx="1">
                  <c:v>0.59531980483705826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Presupuesto Definitivo 2025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  <c:pt idx="3">
                  <c:v>1733762853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866789515</c:v>
                </c:pt>
                <c:pt idx="1">
                  <c:v>0</c:v>
                </c:pt>
                <c:pt idx="2">
                  <c:v>0</c:v>
                </c:pt>
                <c:pt idx="3">
                  <c:v>866789515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1.0570603841463415</c:v>
                </c:pt>
                <c:pt idx="1">
                  <c:v>0</c:v>
                </c:pt>
                <c:pt idx="2">
                  <c:v>0</c:v>
                </c:pt>
                <c:pt idx="3" formatCode="0.00%">
                  <c:v>0.49994698727115938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2025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866789515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1.0570603841463415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NOVIEMBRE 30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8747852389</c:v>
                </c:pt>
                <c:pt idx="1">
                  <c:v>5009532014</c:v>
                </c:pt>
                <c:pt idx="2">
                  <c:v>3496329530</c:v>
                </c:pt>
                <c:pt idx="3">
                  <c:v>10261054873</c:v>
                </c:pt>
                <c:pt idx="4">
                  <c:v>8125217371</c:v>
                </c:pt>
                <c:pt idx="5">
                  <c:v>6575953562</c:v>
                </c:pt>
                <c:pt idx="6">
                  <c:v>6575953562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7169947918</c:v>
                </c:pt>
                <c:pt idx="5">
                  <c:v>4037146344</c:v>
                </c:pt>
                <c:pt idx="6">
                  <c:v>4037146344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NOVIEMBRE 30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3847877385</c:v>
                </c:pt>
                <c:pt idx="1">
                  <c:v>1323852972</c:v>
                </c:pt>
                <c:pt idx="2">
                  <c:v>0</c:v>
                </c:pt>
                <c:pt idx="3">
                  <c:v>5171730357</c:v>
                </c:pt>
                <c:pt idx="4">
                  <c:v>3871198992</c:v>
                </c:pt>
                <c:pt idx="5">
                  <c:v>3866105561</c:v>
                </c:pt>
                <c:pt idx="6">
                  <c:v>3866105561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3632198741</c:v>
                </c:pt>
                <c:pt idx="2">
                  <c:v>11608126</c:v>
                </c:pt>
                <c:pt idx="3">
                  <c:v>4886749251</c:v>
                </c:pt>
                <c:pt idx="4">
                  <c:v>4091843312</c:v>
                </c:pt>
                <c:pt idx="5">
                  <c:v>2547672934</c:v>
                </c:pt>
                <c:pt idx="6">
                  <c:v>2547672934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3633816368</c:v>
                </c:pt>
                <c:pt idx="1">
                  <c:v>53480301</c:v>
                </c:pt>
                <c:pt idx="2">
                  <c:v>3484721404</c:v>
                </c:pt>
                <c:pt idx="3">
                  <c:v>202575265</c:v>
                </c:pt>
                <c:pt idx="4">
                  <c:v>162175067</c:v>
                </c:pt>
                <c:pt idx="5">
                  <c:v>162175067</c:v>
                </c:pt>
                <c:pt idx="6">
                  <c:v>162175067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7169947918</c:v>
                </c:pt>
                <c:pt idx="5">
                  <c:v>4037146344</c:v>
                </c:pt>
                <c:pt idx="6">
                  <c:v>4037146344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NOVIEMBRE 30 DE 2025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8.333333338167305E-2</c:v>
                </c:pt>
                <c:pt idx="1">
                  <c:v>0.1666666667633461</c:v>
                </c:pt>
                <c:pt idx="2">
                  <c:v>0.25000000014501916</c:v>
                </c:pt>
                <c:pt idx="3">
                  <c:v>0.3333333335266922</c:v>
                </c:pt>
                <c:pt idx="4">
                  <c:v>0.41666666690836529</c:v>
                </c:pt>
                <c:pt idx="5">
                  <c:v>0.50000000029003833</c:v>
                </c:pt>
                <c:pt idx="6">
                  <c:v>0.58333333367171136</c:v>
                </c:pt>
                <c:pt idx="7">
                  <c:v>0.6666666670533844</c:v>
                </c:pt>
                <c:pt idx="8">
                  <c:v>0.75000000043505743</c:v>
                </c:pt>
                <c:pt idx="9">
                  <c:v>0.83333333381673058</c:v>
                </c:pt>
                <c:pt idx="10">
                  <c:v>0.91666666719840362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3.452922671389768E-2</c:v>
                </c:pt>
                <c:pt idx="1">
                  <c:v>9.1172128175977904E-2</c:v>
                </c:pt>
                <c:pt idx="2">
                  <c:v>0.15689280317983909</c:v>
                </c:pt>
                <c:pt idx="3">
                  <c:v>0.22057894442542764</c:v>
                </c:pt>
                <c:pt idx="4">
                  <c:v>0.3020782701645402</c:v>
                </c:pt>
                <c:pt idx="5">
                  <c:v>0.35042132282613125</c:v>
                </c:pt>
                <c:pt idx="6">
                  <c:v>0.46015270784157009</c:v>
                </c:pt>
                <c:pt idx="7">
                  <c:v>0.50788619179358352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NOVIEMBRE 30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430977530</c:v>
                </c:pt>
                <c:pt idx="1">
                  <c:v>861955060</c:v>
                </c:pt>
                <c:pt idx="2">
                  <c:v>1292932590</c:v>
                </c:pt>
                <c:pt idx="3">
                  <c:v>1723910120</c:v>
                </c:pt>
                <c:pt idx="4">
                  <c:v>2154887650</c:v>
                </c:pt>
                <c:pt idx="5">
                  <c:v>2585865180</c:v>
                </c:pt>
                <c:pt idx="6">
                  <c:v>3016842710</c:v>
                </c:pt>
                <c:pt idx="7">
                  <c:v>3447820240</c:v>
                </c:pt>
                <c:pt idx="8">
                  <c:v>3878797770</c:v>
                </c:pt>
                <c:pt idx="9">
                  <c:v>4309775300</c:v>
                </c:pt>
                <c:pt idx="10">
                  <c:v>4740752830</c:v>
                </c:pt>
                <c:pt idx="11">
                  <c:v>5171730357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178575850</c:v>
                </c:pt>
                <c:pt idx="1">
                  <c:v>471517663</c:v>
                </c:pt>
                <c:pt idx="2">
                  <c:v>811407273</c:v>
                </c:pt>
                <c:pt idx="3">
                  <c:v>1140774823</c:v>
                </c:pt>
                <c:pt idx="4">
                  <c:v>1562267360</c:v>
                </c:pt>
                <c:pt idx="5">
                  <c:v>1812284593</c:v>
                </c:pt>
                <c:pt idx="6">
                  <c:v>2379785728</c:v>
                </c:pt>
                <c:pt idx="7">
                  <c:v>2626650436</c:v>
                </c:pt>
                <c:pt idx="8">
                  <c:v>2982632593</c:v>
                </c:pt>
                <c:pt idx="9">
                  <c:v>3375817355</c:v>
                </c:pt>
                <c:pt idx="10">
                  <c:v>3866105561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70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73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71"/>
    <dataField name="Suma de COMPROMETIDO" fld="8" baseField="0" baseItem="0" numFmtId="171"/>
    <dataField name="Suma de OBLIGACIÓN" fld="9" baseField="0" baseItem="0" numFmtId="171"/>
    <dataField name="Suma de TOTAL PAGO" fld="18" baseField="0" baseItem="0" numFmtId="171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8" sqref="H8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4" t="s">
        <v>101</v>
      </c>
      <c r="C3" s="255"/>
      <c r="D3" s="255"/>
      <c r="E3" s="255"/>
      <c r="F3" s="255"/>
      <c r="G3" s="255"/>
      <c r="H3" s="255"/>
      <c r="I3" s="256"/>
    </row>
    <row r="4" spans="2:14" ht="13.5" customHeight="1" thickBot="1" x14ac:dyDescent="0.25">
      <c r="B4" s="251" t="s">
        <v>126</v>
      </c>
      <c r="C4" s="252"/>
      <c r="D4" s="252"/>
      <c r="E4" s="252"/>
      <c r="F4" s="252"/>
      <c r="G4" s="252"/>
      <c r="H4" s="252"/>
      <c r="I4" s="253"/>
      <c r="J4" s="250">
        <v>11597</v>
      </c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119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1733762853</v>
      </c>
      <c r="D7" s="222">
        <v>0</v>
      </c>
      <c r="E7" s="223">
        <v>0</v>
      </c>
      <c r="F7" s="142">
        <f>C7+D7-E7</f>
        <v>1733762853</v>
      </c>
      <c r="G7" s="31">
        <f>F7/F10</f>
        <v>9.3825764876541415E-2</v>
      </c>
      <c r="H7" s="234">
        <f>200711656+666077859</f>
        <v>866789515</v>
      </c>
      <c r="I7" s="177">
        <f>H7/F10</f>
        <v>4.6907908478439043E-2</v>
      </c>
      <c r="K7" s="163"/>
      <c r="M7" s="154"/>
    </row>
    <row r="8" spans="2:14" ht="13.5" customHeight="1" thickBot="1" x14ac:dyDescent="0.25">
      <c r="B8" s="137" t="s">
        <v>105</v>
      </c>
      <c r="C8" s="143">
        <v>15231571505</v>
      </c>
      <c r="D8" s="203">
        <f>'EJE DE FUNCIONAMIENTO E INVERSI'!C7</f>
        <v>5009532014</v>
      </c>
      <c r="E8" s="223">
        <f>'EJE DE FUNCIONAMIENTO E INVERSI'!D7</f>
        <v>3496329530</v>
      </c>
      <c r="F8" s="142">
        <f>C8+D8-E8</f>
        <v>16744773989</v>
      </c>
      <c r="G8" s="31">
        <f>F8/F10</f>
        <v>0.90617423512345863</v>
      </c>
      <c r="H8" s="189">
        <v>10099799539</v>
      </c>
      <c r="I8" s="179">
        <f>H8/F10</f>
        <v>0.54656922381668727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16965334358</v>
      </c>
      <c r="D10" s="201">
        <f>SUM(D7:D9)</f>
        <v>5009532014</v>
      </c>
      <c r="E10" s="225">
        <f>SUM(E7:E9)</f>
        <v>3496329530</v>
      </c>
      <c r="F10" s="201">
        <f>+F7+F8+F9</f>
        <v>18478536842</v>
      </c>
      <c r="G10" s="149">
        <f>SUM(G7:G9)</f>
        <v>1</v>
      </c>
      <c r="H10" s="148">
        <f>SUM(H7:H9)</f>
        <v>10966589054</v>
      </c>
      <c r="I10" s="178">
        <f>SUM(I7:I9)</f>
        <v>0.59347713229512633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866789515</v>
      </c>
      <c r="D33" s="203"/>
      <c r="E33" s="203"/>
      <c r="F33" s="203"/>
      <c r="G33" s="177">
        <f>C33/C10</f>
        <v>5.1091802655293117E-2</v>
      </c>
    </row>
    <row r="34" spans="2:15" ht="13.5" thickBot="1" x14ac:dyDescent="0.25">
      <c r="B34" s="137" t="s">
        <v>93</v>
      </c>
      <c r="C34" s="142">
        <f>+H8</f>
        <v>10099799539</v>
      </c>
      <c r="D34" s="203"/>
      <c r="E34" s="203"/>
      <c r="F34" s="203"/>
      <c r="G34" s="179">
        <f>C34/C10</f>
        <v>0.59531980483705826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10966589054</v>
      </c>
      <c r="D36" s="205"/>
      <c r="E36" s="205"/>
      <c r="F36" s="205"/>
      <c r="G36" s="206">
        <f>SUM(G33:G35)</f>
        <v>0.64641160749235138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80" t="s">
        <v>129</v>
      </c>
      <c r="C2" s="281"/>
      <c r="D2" s="281"/>
      <c r="E2" s="281"/>
      <c r="F2" s="282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8217481969</v>
      </c>
      <c r="D4" s="53">
        <f>C4</f>
        <v>8217481969</v>
      </c>
      <c r="E4" s="53">
        <v>4037146344</v>
      </c>
      <c r="F4" s="186">
        <f>E4/D4</f>
        <v>0.49128752082814581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C18" sqref="C18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7" t="s">
        <v>130</v>
      </c>
      <c r="B5" s="278"/>
      <c r="C5" s="278"/>
      <c r="D5" s="278"/>
      <c r="E5" s="279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684790164</v>
      </c>
      <c r="C7" s="47">
        <v>0</v>
      </c>
      <c r="D7" s="48">
        <f>+B7/$B$18</f>
        <v>8.3333333323192357E-2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1369580328</v>
      </c>
      <c r="C8" s="47">
        <v>36655273</v>
      </c>
      <c r="D8" s="48">
        <f>+B8/$B$18</f>
        <v>0.16666666664638471</v>
      </c>
      <c r="E8" s="187">
        <f t="shared" ref="D8:E18" si="0">+C8/$B$18</f>
        <v>4.4606453824030286E-3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2054370492</v>
      </c>
      <c r="C9" s="47">
        <v>409183949</v>
      </c>
      <c r="D9" s="48">
        <f t="shared" si="0"/>
        <v>0.24999999996957706</v>
      </c>
      <c r="E9" s="187">
        <f t="shared" si="0"/>
        <v>4.9794322706593577E-2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2739160656</v>
      </c>
      <c r="C10" s="47">
        <v>673208766</v>
      </c>
      <c r="D10" s="48">
        <f t="shared" si="0"/>
        <v>0.33333333329276943</v>
      </c>
      <c r="E10" s="187">
        <f t="shared" si="0"/>
        <v>8.1923972396853825E-2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3423950820</v>
      </c>
      <c r="C11" s="47">
        <v>1060320622</v>
      </c>
      <c r="D11" s="48">
        <f t="shared" si="0"/>
        <v>0.41666666661596174</v>
      </c>
      <c r="E11" s="187">
        <f t="shared" si="0"/>
        <v>0.12903230283923972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4108740984</v>
      </c>
      <c r="C12" s="47">
        <v>1566804894</v>
      </c>
      <c r="D12" s="48">
        <f t="shared" si="0"/>
        <v>0.49999999993915412</v>
      </c>
      <c r="E12" s="187">
        <f t="shared" si="0"/>
        <v>0.19066727495243502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4793531148</v>
      </c>
      <c r="C13" s="47">
        <v>2270584216</v>
      </c>
      <c r="D13" s="48">
        <f>+B13/$B$18</f>
        <v>0.58333333326234649</v>
      </c>
      <c r="E13" s="187">
        <f t="shared" si="0"/>
        <v>0.27631143269503411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5478321312</v>
      </c>
      <c r="C14" s="47">
        <v>2801751901</v>
      </c>
      <c r="D14" s="48">
        <f t="shared" si="0"/>
        <v>0.66666666658553886</v>
      </c>
      <c r="E14" s="187">
        <f t="shared" si="0"/>
        <v>0.34095017324886812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6163111476</v>
      </c>
      <c r="C15" s="47">
        <v>3562588102</v>
      </c>
      <c r="D15" s="48">
        <f>+B15/$B$18</f>
        <v>0.74999999990873112</v>
      </c>
      <c r="E15" s="187">
        <f t="shared" si="0"/>
        <v>0.43353768410319221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6847901640</v>
      </c>
      <c r="C16" s="47">
        <v>4020946326</v>
      </c>
      <c r="D16" s="48">
        <f>+B16/$B$18</f>
        <v>0.83333333323192349</v>
      </c>
      <c r="E16" s="187">
        <f>+C16/$B$18</f>
        <v>0.48931611181731821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7532691804</v>
      </c>
      <c r="C17" s="47">
        <v>4037146344</v>
      </c>
      <c r="D17" s="48">
        <f>+B17/$B$18</f>
        <v>0.91666666655511586</v>
      </c>
      <c r="E17" s="187">
        <f t="shared" si="0"/>
        <v>0.49128752082814581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+$B$7*12+1</f>
        <v>8217481969</v>
      </c>
      <c r="C18" s="219">
        <v>0</v>
      </c>
      <c r="D18" s="56">
        <f>+B18/$B$18</f>
        <v>1</v>
      </c>
      <c r="E18" s="220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topLeftCell="A17" zoomScale="95" zoomScaleNormal="95" workbookViewId="0">
      <selection activeCell="F8" sqref="F8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3" t="s">
        <v>42</v>
      </c>
      <c r="D2" s="283"/>
      <c r="E2" s="283"/>
      <c r="F2" s="283"/>
      <c r="G2" s="283"/>
      <c r="H2" s="283"/>
      <c r="I2" s="283"/>
      <c r="J2" s="283"/>
      <c r="K2" s="283"/>
      <c r="L2" s="283"/>
      <c r="M2" s="283"/>
    </row>
    <row r="3" spans="2:13" ht="26.25" customHeight="1" thickBot="1" x14ac:dyDescent="0.25">
      <c r="B3" s="249"/>
      <c r="C3" s="284" t="s">
        <v>126</v>
      </c>
      <c r="D3" s="285"/>
      <c r="E3" s="285"/>
      <c r="F3" s="285"/>
      <c r="G3" s="285"/>
      <c r="H3" s="285"/>
      <c r="I3" s="285"/>
      <c r="J3" s="285"/>
      <c r="K3" s="285"/>
      <c r="L3" s="285"/>
      <c r="M3" s="285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123</v>
      </c>
      <c r="C5" s="248" t="s">
        <v>122</v>
      </c>
      <c r="D5" s="150">
        <f>'EJE DE FUNCIONAMIENTO E INVERSI'!B6</f>
        <v>8217481969</v>
      </c>
      <c r="E5" s="150">
        <v>0</v>
      </c>
      <c r="F5" s="150">
        <f>D5+E5</f>
        <v>8217481969</v>
      </c>
      <c r="G5" s="40">
        <f>'EJE DE FUNCIONAMIENTO E INVERSI'!F6</f>
        <v>7169947918</v>
      </c>
      <c r="H5" s="40">
        <f>'EJE DE FUNCIONAMIENTO E INVERSI'!G6</f>
        <v>4037146344</v>
      </c>
      <c r="I5" s="40">
        <f>'EJE DE FUNCIONAMIENTO E INVERSI'!H6</f>
        <v>4037146344</v>
      </c>
      <c r="J5" s="156">
        <v>1</v>
      </c>
      <c r="K5" s="156">
        <f>G5/F5</f>
        <v>0.87252371773351434</v>
      </c>
      <c r="L5" s="157">
        <f>H5/F5</f>
        <v>0.49128752082814581</v>
      </c>
      <c r="M5" s="157">
        <f>I5/F5</f>
        <v>0.49128752082814581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8217481969</v>
      </c>
      <c r="E8" s="150">
        <v>0</v>
      </c>
      <c r="F8" s="150">
        <f>SUM(F5:F7)</f>
        <v>8217481969</v>
      </c>
      <c r="G8" s="150">
        <f>+SUM(G5:G7)</f>
        <v>7169947918</v>
      </c>
      <c r="H8" s="175">
        <f>+SUM(H5:H7)</f>
        <v>4037146344</v>
      </c>
      <c r="I8" s="175">
        <f>+SUM(I5:I7)</f>
        <v>4037146344</v>
      </c>
      <c r="J8" s="158">
        <v>1</v>
      </c>
      <c r="K8" s="156">
        <f>G8/F8</f>
        <v>0.87252371773351434</v>
      </c>
      <c r="L8" s="157">
        <f>H8/F8</f>
        <v>0.49128752082814581</v>
      </c>
      <c r="M8" s="157">
        <f>I8/F8</f>
        <v>0.49128752082814581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6" t="s">
        <v>60</v>
      </c>
      <c r="B16" s="287"/>
      <c r="C16" s="287"/>
      <c r="D16" s="287"/>
      <c r="E16" s="287"/>
      <c r="F16" s="288"/>
    </row>
    <row r="17" spans="1:6" ht="25.5" customHeight="1" thickBot="1" x14ac:dyDescent="0.25">
      <c r="A17" s="289"/>
      <c r="B17" s="290"/>
      <c r="C17" s="290"/>
      <c r="D17" s="290"/>
      <c r="E17" s="290"/>
      <c r="F17" s="291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2" t="str">
        <f>+A16</f>
        <v>EJECUCIÓN PRESUPUESTAL
RESERVAS PRESUPUESTALES
A AGOSTO 31 DE 2015</v>
      </c>
      <c r="B31" s="293"/>
      <c r="C31" s="293"/>
      <c r="D31" s="293"/>
      <c r="E31" s="294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7" t="s">
        <v>88</v>
      </c>
      <c r="B2" s="258"/>
      <c r="C2" s="258"/>
      <c r="D2" s="258"/>
      <c r="E2" s="258"/>
      <c r="F2" s="258"/>
      <c r="G2" s="259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5" t="s">
        <v>65</v>
      </c>
      <c r="B19" s="296"/>
      <c r="C19" s="297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60" t="s">
        <v>65</v>
      </c>
      <c r="B28" s="298"/>
      <c r="C28" s="298"/>
      <c r="D28" s="261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C27" sqref="C27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7" t="s">
        <v>124</v>
      </c>
      <c r="B2" s="258"/>
      <c r="C2" s="258"/>
      <c r="D2" s="259"/>
    </row>
    <row r="3" spans="1:6" s="113" customFormat="1" ht="39" thickBot="1" x14ac:dyDescent="0.25">
      <c r="A3" s="110" t="s">
        <v>106</v>
      </c>
      <c r="B3" s="111" t="s">
        <v>125</v>
      </c>
      <c r="C3" s="112" t="s">
        <v>118</v>
      </c>
      <c r="D3" s="111" t="s">
        <v>107</v>
      </c>
    </row>
    <row r="4" spans="1:6" ht="13.5" thickBot="1" x14ac:dyDescent="0.25">
      <c r="A4" s="114" t="s">
        <v>75</v>
      </c>
      <c r="B4" s="193">
        <v>820000000</v>
      </c>
      <c r="C4" s="159">
        <f>'EJE INGRESOS'!H7</f>
        <v>866789515</v>
      </c>
      <c r="D4" s="160">
        <f>C4/B4</f>
        <v>1.0570603841463415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913762853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1733762853</v>
      </c>
      <c r="C7" s="169">
        <f>SUM(C4:C6)</f>
        <v>866789515</v>
      </c>
      <c r="D7" s="184">
        <f>C7/B7</f>
        <v>0.49994698727115938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60" t="s">
        <v>108</v>
      </c>
      <c r="B10" s="261"/>
      <c r="C10" s="171"/>
    </row>
    <row r="11" spans="1:6" ht="12.75" customHeight="1" x14ac:dyDescent="0.2">
      <c r="A11" s="125" t="s">
        <v>66</v>
      </c>
      <c r="B11" s="161">
        <v>2025</v>
      </c>
      <c r="C11" s="172"/>
    </row>
    <row r="12" spans="1:6" x14ac:dyDescent="0.2">
      <c r="A12" s="99" t="s">
        <v>69</v>
      </c>
      <c r="B12" s="101">
        <f>B7</f>
        <v>1733762853</v>
      </c>
      <c r="C12" s="173"/>
    </row>
    <row r="13" spans="1:6" x14ac:dyDescent="0.2">
      <c r="A13" s="162" t="s">
        <v>109</v>
      </c>
      <c r="B13" s="101">
        <f>C7</f>
        <v>866789515</v>
      </c>
      <c r="C13" s="173"/>
    </row>
    <row r="14" spans="1:6" ht="13.5" thickBot="1" x14ac:dyDescent="0.25">
      <c r="A14" s="102" t="s">
        <v>71</v>
      </c>
      <c r="B14" s="185">
        <f>+B13/B12</f>
        <v>0.49994698727115938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tabSelected="1" workbookViewId="0">
      <selection activeCell="H7" sqref="H7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2" t="s">
        <v>104</v>
      </c>
      <c r="B2" s="263"/>
      <c r="C2" s="263"/>
      <c r="D2" s="263"/>
      <c r="E2" s="263"/>
      <c r="F2" s="263"/>
      <c r="G2" s="263"/>
      <c r="H2" s="264"/>
      <c r="I2" s="14"/>
      <c r="J2" s="265" t="s">
        <v>102</v>
      </c>
      <c r="K2" s="265"/>
      <c r="L2" s="265"/>
    </row>
    <row r="3" spans="1:16" ht="13.5" customHeight="1" thickBot="1" x14ac:dyDescent="0.25">
      <c r="A3" s="251" t="s">
        <v>126</v>
      </c>
      <c r="B3" s="252"/>
      <c r="C3" s="252"/>
      <c r="D3" s="252"/>
      <c r="E3" s="252"/>
      <c r="F3" s="252"/>
      <c r="G3" s="252"/>
      <c r="H3" s="253"/>
      <c r="I3" s="14"/>
      <c r="J3" s="266"/>
      <c r="K3" s="266"/>
      <c r="L3" s="266"/>
    </row>
    <row r="4" spans="1:16" ht="93.75" customHeight="1" thickBot="1" x14ac:dyDescent="0.25">
      <c r="A4" s="1" t="s">
        <v>20</v>
      </c>
      <c r="B4" s="2" t="s">
        <v>113</v>
      </c>
      <c r="C4" s="213" t="s">
        <v>120</v>
      </c>
      <c r="D4" s="244" t="s">
        <v>121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8747852389</v>
      </c>
      <c r="C5" s="5">
        <v>5009532014</v>
      </c>
      <c r="D5" s="5">
        <v>3496329530</v>
      </c>
      <c r="E5" s="231">
        <f>B5+C5-D5</f>
        <v>10261054873</v>
      </c>
      <c r="F5" s="5">
        <v>8125217371</v>
      </c>
      <c r="G5" s="5">
        <v>6575953562</v>
      </c>
      <c r="H5" s="5">
        <v>6575953562</v>
      </c>
      <c r="J5" s="209">
        <f>F5/E5</f>
        <v>0.79185010425974356</v>
      </c>
      <c r="K5" s="210">
        <f>G5/E5</f>
        <v>0.64086525638834291</v>
      </c>
      <c r="L5" s="211">
        <f>H5/E5</f>
        <v>0.64086525638834291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8217481969</v>
      </c>
      <c r="C6" s="7">
        <v>0</v>
      </c>
      <c r="D6" s="7">
        <v>0</v>
      </c>
      <c r="E6" s="231">
        <f>B6+C6-D6</f>
        <v>8217481969</v>
      </c>
      <c r="F6" s="7">
        <v>7169947918</v>
      </c>
      <c r="G6" s="228">
        <v>4037146344</v>
      </c>
      <c r="H6" s="7">
        <v>4037146344</v>
      </c>
      <c r="J6" s="209">
        <f>F6/E6</f>
        <v>0.87252371773351434</v>
      </c>
      <c r="K6" s="210">
        <f>G6/E6</f>
        <v>0.49128752082814581</v>
      </c>
      <c r="L6" s="211">
        <f>H6/E6</f>
        <v>0.49128752082814581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16965334358</v>
      </c>
      <c r="C7" s="198">
        <f>+SUM(C5:C6)</f>
        <v>5009532014</v>
      </c>
      <c r="D7" s="226">
        <f>D5+D6</f>
        <v>3496329530</v>
      </c>
      <c r="E7" s="245">
        <f>SUM(E5:E6)</f>
        <v>18478536842</v>
      </c>
      <c r="F7" s="199">
        <f>+SUM(F5:F6)</f>
        <v>15295165289</v>
      </c>
      <c r="G7" s="199">
        <f t="shared" ref="G7:H7" si="0">+SUM(G5:G6)</f>
        <v>10613099906</v>
      </c>
      <c r="H7" s="199">
        <f t="shared" si="0"/>
        <v>10613099906</v>
      </c>
      <c r="J7" s="181">
        <f>F7/E7</f>
        <v>0.8277259947462674</v>
      </c>
      <c r="K7" s="182">
        <f>G7/B7</f>
        <v>0.62557564042322544</v>
      </c>
      <c r="L7" s="183">
        <f>H7/E7</f>
        <v>0.57434741704643022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7"/>
      <c r="Q17" s="268"/>
      <c r="R17" s="269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zoomScale="93" zoomScaleNormal="93" workbookViewId="0">
      <selection activeCell="I5" sqref="I5:I7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8" width="15.42578125" customWidth="1"/>
    <col min="9" max="9" width="15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70" t="s">
        <v>103</v>
      </c>
      <c r="C2" s="270"/>
      <c r="D2" s="270"/>
      <c r="E2" s="270"/>
      <c r="F2" s="270"/>
      <c r="G2" s="270"/>
      <c r="H2" s="270"/>
      <c r="I2" s="270"/>
      <c r="J2" s="14"/>
      <c r="K2" s="14"/>
      <c r="L2" s="14"/>
    </row>
    <row r="3" spans="2:23" ht="24.75" customHeight="1" thickBot="1" x14ac:dyDescent="0.25">
      <c r="B3" s="251" t="s">
        <v>126</v>
      </c>
      <c r="C3" s="252"/>
      <c r="D3" s="252"/>
      <c r="E3" s="252"/>
      <c r="F3" s="252"/>
      <c r="G3" s="252"/>
      <c r="H3" s="252"/>
      <c r="I3" s="253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120</v>
      </c>
      <c r="E4" s="244" t="s">
        <v>121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3847877385</v>
      </c>
      <c r="D5" s="227">
        <v>1323852972</v>
      </c>
      <c r="E5" s="5">
        <v>0</v>
      </c>
      <c r="F5" s="230">
        <f>C5+D5-E5</f>
        <v>5171730357</v>
      </c>
      <c r="G5" s="5">
        <v>3871198992</v>
      </c>
      <c r="H5" s="5">
        <v>3866105561</v>
      </c>
      <c r="I5" s="5">
        <v>3866105561</v>
      </c>
      <c r="J5" s="14"/>
      <c r="K5" s="209">
        <f>G5/F5</f>
        <v>0.74853070921616882</v>
      </c>
      <c r="L5" s="209">
        <f>H5/F5</f>
        <v>0.74754584909230215</v>
      </c>
      <c r="M5" s="209">
        <f>I5/F5</f>
        <v>0.74754584909230215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3632198741</v>
      </c>
      <c r="E6" s="5">
        <v>11608126</v>
      </c>
      <c r="F6" s="230">
        <f>C6+D6-E6</f>
        <v>4886749251</v>
      </c>
      <c r="G6" s="5">
        <v>4091843312</v>
      </c>
      <c r="H6" s="5">
        <v>2547672934</v>
      </c>
      <c r="I6" s="5">
        <v>2547672934</v>
      </c>
      <c r="J6" s="14"/>
      <c r="K6" s="209">
        <f>G6/F6</f>
        <v>0.83733441227062455</v>
      </c>
      <c r="L6" s="209">
        <f>H6/F6</f>
        <v>0.52134308579034561</v>
      </c>
      <c r="M6" s="209">
        <f>I6/F6</f>
        <v>0.52134308579034561</v>
      </c>
      <c r="O6" s="45"/>
    </row>
    <row r="7" spans="2:23" ht="24.75" thickBot="1" x14ac:dyDescent="0.25">
      <c r="B7" s="4" t="s">
        <v>111</v>
      </c>
      <c r="C7" s="5">
        <v>3633816368</v>
      </c>
      <c r="D7" s="5">
        <v>53480301</v>
      </c>
      <c r="E7" s="5">
        <v>3484721404</v>
      </c>
      <c r="F7" s="230">
        <f>C7+D7-E7</f>
        <v>202575265</v>
      </c>
      <c r="G7" s="5">
        <v>162175067</v>
      </c>
      <c r="H7" s="5">
        <v>162175067</v>
      </c>
      <c r="I7" s="5">
        <v>162175067</v>
      </c>
      <c r="J7" s="14"/>
      <c r="K7" s="209">
        <f>G7/F7</f>
        <v>0.80056697445268055</v>
      </c>
      <c r="L7" s="209">
        <f>H7/F7</f>
        <v>0.80056697445268055</v>
      </c>
      <c r="M7" s="209">
        <f>I7/F7</f>
        <v>0.80056697445268055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8217481969</v>
      </c>
      <c r="D9" s="7">
        <f>'EJE DE FUNCIONAMIENTO E INVERSI'!C6</f>
        <v>0</v>
      </c>
      <c r="E9" s="7">
        <v>0</v>
      </c>
      <c r="F9" s="232">
        <f>'EJE DE FUNCIONAMIENTO E INVERSI'!E6</f>
        <v>8217481969</v>
      </c>
      <c r="G9" s="7">
        <f>'EJE DE FUNCIONAMIENTO E INVERSI'!F6</f>
        <v>7169947918</v>
      </c>
      <c r="H9" s="7">
        <f>'EJE DE FUNCIONAMIENTO E INVERSI'!G6</f>
        <v>4037146344</v>
      </c>
      <c r="I9" s="7">
        <f>'EJE DE FUNCIONAMIENTO E INVERSI'!H6</f>
        <v>4037146344</v>
      </c>
      <c r="J9" s="14"/>
      <c r="K9" s="209">
        <f>G9/F9</f>
        <v>0.87252371773351434</v>
      </c>
      <c r="L9" s="209">
        <f>H9/F9</f>
        <v>0.49128752082814581</v>
      </c>
      <c r="M9" s="209">
        <f>I9/F9</f>
        <v>0.49128752082814581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16965334358</v>
      </c>
      <c r="D11" s="9">
        <f>+SUM(D5:D10)</f>
        <v>5009532014</v>
      </c>
      <c r="E11" s="9">
        <f>E5+E6+E7+E8+E9</f>
        <v>3496329530</v>
      </c>
      <c r="F11" s="233">
        <f t="shared" ref="F11" si="4">+SUM(F5:F10)</f>
        <v>18478536842</v>
      </c>
      <c r="G11" s="9">
        <f>+SUM(G5:G10)</f>
        <v>15295165289</v>
      </c>
      <c r="H11" s="9">
        <f>+SUM(H5:H10)</f>
        <v>10613099906</v>
      </c>
      <c r="I11" s="9">
        <f>+SUM(I5:I10)</f>
        <v>10613099906</v>
      </c>
      <c r="J11" s="14"/>
      <c r="K11" s="181">
        <f>G11/F11</f>
        <v>0.8277259947462674</v>
      </c>
      <c r="L11" s="181">
        <f>H11/F11</f>
        <v>0.57434741704643022</v>
      </c>
      <c r="M11" s="181">
        <f>I11/F11</f>
        <v>0.57434741704643022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1"/>
      <c r="P13" s="271"/>
      <c r="Q13" s="271"/>
      <c r="R13" s="271"/>
      <c r="S13" s="271"/>
      <c r="T13" s="271"/>
      <c r="U13" s="271"/>
      <c r="V13" s="271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2" t="s">
        <v>19</v>
      </c>
      <c r="B2" s="273"/>
      <c r="C2" s="273"/>
      <c r="D2" s="273"/>
    </row>
    <row r="3" spans="1:4" ht="27" customHeight="1" x14ac:dyDescent="0.25">
      <c r="A3" s="273"/>
      <c r="B3" s="273"/>
      <c r="C3" s="273"/>
      <c r="D3" s="273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workbookViewId="0">
      <selection activeCell="B18" sqref="B18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4" t="s">
        <v>127</v>
      </c>
      <c r="B4" s="275"/>
      <c r="C4" s="275"/>
      <c r="D4" s="275"/>
      <c r="E4" s="276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430977530</v>
      </c>
      <c r="C6" s="30">
        <v>178575850</v>
      </c>
      <c r="D6" s="31">
        <f>+B6/$B$17</f>
        <v>8.333333338167305E-2</v>
      </c>
      <c r="E6" s="177">
        <f>+C6/$B$17</f>
        <v>3.452922671389768E-2</v>
      </c>
    </row>
    <row r="7" spans="1:5" x14ac:dyDescent="0.2">
      <c r="A7" s="22" t="s">
        <v>7</v>
      </c>
      <c r="B7" s="19">
        <f>+$B$6*2</f>
        <v>861955060</v>
      </c>
      <c r="C7" s="19">
        <v>471517663</v>
      </c>
      <c r="D7" s="20">
        <f t="shared" ref="D7:D17" si="0">+B7/$B$17</f>
        <v>0.1666666667633461</v>
      </c>
      <c r="E7" s="179">
        <f t="shared" ref="E7:E17" si="1">+C7/$B$17</f>
        <v>9.1172128175977904E-2</v>
      </c>
    </row>
    <row r="8" spans="1:5" x14ac:dyDescent="0.2">
      <c r="A8" s="22" t="s">
        <v>8</v>
      </c>
      <c r="B8" s="19">
        <f>+$B$6*3</f>
        <v>1292932590</v>
      </c>
      <c r="C8" s="19">
        <v>811407273</v>
      </c>
      <c r="D8" s="20">
        <f t="shared" si="0"/>
        <v>0.25000000014501916</v>
      </c>
      <c r="E8" s="179">
        <f t="shared" si="1"/>
        <v>0.15689280317983909</v>
      </c>
    </row>
    <row r="9" spans="1:5" x14ac:dyDescent="0.2">
      <c r="A9" s="22" t="s">
        <v>9</v>
      </c>
      <c r="B9" s="19">
        <f>+$B$6*4</f>
        <v>1723910120</v>
      </c>
      <c r="C9" s="19">
        <v>1140774823</v>
      </c>
      <c r="D9" s="20">
        <f t="shared" si="0"/>
        <v>0.3333333335266922</v>
      </c>
      <c r="E9" s="179">
        <f t="shared" si="1"/>
        <v>0.22057894442542764</v>
      </c>
    </row>
    <row r="10" spans="1:5" x14ac:dyDescent="0.2">
      <c r="A10" s="22" t="s">
        <v>10</v>
      </c>
      <c r="B10" s="19">
        <f>+$B$6*5</f>
        <v>2154887650</v>
      </c>
      <c r="C10" s="19">
        <v>1562267360</v>
      </c>
      <c r="D10" s="20">
        <f t="shared" si="0"/>
        <v>0.41666666690836529</v>
      </c>
      <c r="E10" s="179">
        <f t="shared" si="1"/>
        <v>0.3020782701645402</v>
      </c>
    </row>
    <row r="11" spans="1:5" x14ac:dyDescent="0.2">
      <c r="A11" s="22" t="s">
        <v>11</v>
      </c>
      <c r="B11" s="19">
        <f>+$B$6*6</f>
        <v>2585865180</v>
      </c>
      <c r="C11" s="19">
        <v>1812284593</v>
      </c>
      <c r="D11" s="20">
        <f t="shared" si="0"/>
        <v>0.50000000029003833</v>
      </c>
      <c r="E11" s="179">
        <f t="shared" si="1"/>
        <v>0.35042132282613125</v>
      </c>
    </row>
    <row r="12" spans="1:5" x14ac:dyDescent="0.2">
      <c r="A12" s="22" t="s">
        <v>12</v>
      </c>
      <c r="B12" s="19">
        <f>+$B$6*7</f>
        <v>3016842710</v>
      </c>
      <c r="C12" s="19">
        <v>2379785728</v>
      </c>
      <c r="D12" s="20">
        <f t="shared" si="0"/>
        <v>0.58333333367171136</v>
      </c>
      <c r="E12" s="179">
        <f t="shared" si="1"/>
        <v>0.46015270784157009</v>
      </c>
    </row>
    <row r="13" spans="1:5" x14ac:dyDescent="0.2">
      <c r="A13" s="22" t="s">
        <v>13</v>
      </c>
      <c r="B13" s="19">
        <f>+$B$6*8</f>
        <v>3447820240</v>
      </c>
      <c r="C13" s="19">
        <v>2626650436</v>
      </c>
      <c r="D13" s="20">
        <f t="shared" si="0"/>
        <v>0.6666666670533844</v>
      </c>
      <c r="E13" s="179">
        <f t="shared" si="1"/>
        <v>0.50788619179358352</v>
      </c>
    </row>
    <row r="14" spans="1:5" x14ac:dyDescent="0.2">
      <c r="A14" s="22" t="s">
        <v>14</v>
      </c>
      <c r="B14" s="19">
        <f>+$B$6*9</f>
        <v>3878797770</v>
      </c>
      <c r="C14" s="19">
        <v>2982632593</v>
      </c>
      <c r="D14" s="20">
        <f t="shared" si="0"/>
        <v>0.75000000043505743</v>
      </c>
      <c r="E14" s="179">
        <f t="shared" si="1"/>
        <v>0.57671850369441058</v>
      </c>
    </row>
    <row r="15" spans="1:5" x14ac:dyDescent="0.2">
      <c r="A15" s="22" t="s">
        <v>15</v>
      </c>
      <c r="B15" s="19">
        <f>+$B$6*10</f>
        <v>4309775300</v>
      </c>
      <c r="C15" s="19">
        <v>3375817355</v>
      </c>
      <c r="D15" s="20">
        <f t="shared" si="0"/>
        <v>0.83333333381673058</v>
      </c>
      <c r="E15" s="179">
        <f t="shared" si="1"/>
        <v>0.6527442697067124</v>
      </c>
    </row>
    <row r="16" spans="1:5" x14ac:dyDescent="0.2">
      <c r="A16" s="22" t="s">
        <v>16</v>
      </c>
      <c r="B16" s="19">
        <f>+$B$6*11</f>
        <v>4740752830</v>
      </c>
      <c r="C16" s="216">
        <v>3866105561</v>
      </c>
      <c r="D16" s="20">
        <f t="shared" si="0"/>
        <v>0.91666666719840362</v>
      </c>
      <c r="E16" s="179">
        <f t="shared" si="1"/>
        <v>0.74754584909230215</v>
      </c>
    </row>
    <row r="17" spans="1:5" ht="13.5" thickBot="1" x14ac:dyDescent="0.25">
      <c r="A17" s="24" t="s">
        <v>17</v>
      </c>
      <c r="B17" s="25">
        <f>+$B$6*12-3</f>
        <v>5171730357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B18" sqref="B18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7" t="s">
        <v>128</v>
      </c>
      <c r="B4" s="278"/>
      <c r="C4" s="278"/>
      <c r="D4" s="278"/>
      <c r="E4" s="279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407229104</v>
      </c>
      <c r="C6" s="21">
        <v>7532079</v>
      </c>
      <c r="D6" s="20">
        <f>+B6/$B$17</f>
        <v>8.3333333282174585E-2</v>
      </c>
      <c r="E6" s="179">
        <f>+C6/$B$17</f>
        <v>1.5413270894672308E-3</v>
      </c>
    </row>
    <row r="7" spans="1:5" x14ac:dyDescent="0.2">
      <c r="A7" s="22" t="s">
        <v>7</v>
      </c>
      <c r="B7" s="190">
        <f>+$B$6*2</f>
        <v>814458208</v>
      </c>
      <c r="C7" s="21">
        <v>107268397</v>
      </c>
      <c r="D7" s="20">
        <f t="shared" ref="D7:D17" si="0">+B7/$B$17</f>
        <v>0.16666666656434917</v>
      </c>
      <c r="E7" s="179">
        <f t="shared" ref="E7:E17" si="1">+C7/$B$17</f>
        <v>2.1950869891277751E-2</v>
      </c>
    </row>
    <row r="8" spans="1:5" x14ac:dyDescent="0.2">
      <c r="A8" s="22" t="s">
        <v>8</v>
      </c>
      <c r="B8" s="190">
        <f>+$B$6*3</f>
        <v>1221687312</v>
      </c>
      <c r="C8" s="21">
        <v>268657320</v>
      </c>
      <c r="D8" s="20">
        <f t="shared" si="0"/>
        <v>0.24999999984652374</v>
      </c>
      <c r="E8" s="179">
        <f t="shared" si="1"/>
        <v>5.4976694362826845E-2</v>
      </c>
    </row>
    <row r="9" spans="1:5" x14ac:dyDescent="0.2">
      <c r="A9" s="22" t="s">
        <v>9</v>
      </c>
      <c r="B9" s="190">
        <f>+$B$6*4</f>
        <v>1628916416</v>
      </c>
      <c r="C9" s="21">
        <v>446866793</v>
      </c>
      <c r="D9" s="20">
        <f t="shared" si="0"/>
        <v>0.33333333312869834</v>
      </c>
      <c r="E9" s="179">
        <f t="shared" si="1"/>
        <v>9.1444592314319256E-2</v>
      </c>
    </row>
    <row r="10" spans="1:5" x14ac:dyDescent="0.2">
      <c r="A10" s="22" t="s">
        <v>10</v>
      </c>
      <c r="B10" s="190">
        <f>+$B$6*5</f>
        <v>2036145520</v>
      </c>
      <c r="C10" s="21">
        <v>628721805</v>
      </c>
      <c r="D10" s="20">
        <f t="shared" si="0"/>
        <v>0.41666666641087291</v>
      </c>
      <c r="E10" s="179">
        <f t="shared" si="1"/>
        <v>0.12865849518907513</v>
      </c>
    </row>
    <row r="11" spans="1:5" x14ac:dyDescent="0.2">
      <c r="A11" s="22" t="s">
        <v>11</v>
      </c>
      <c r="B11" s="190">
        <f>+$B$6*6</f>
        <v>2443374624</v>
      </c>
      <c r="C11" s="21">
        <v>751022366</v>
      </c>
      <c r="D11" s="20">
        <f t="shared" si="0"/>
        <v>0.49999999969304748</v>
      </c>
      <c r="E11" s="179">
        <f t="shared" si="1"/>
        <v>0.15368547216665854</v>
      </c>
    </row>
    <row r="12" spans="1:5" x14ac:dyDescent="0.2">
      <c r="A12" s="22" t="s">
        <v>12</v>
      </c>
      <c r="B12" s="190">
        <f>+$B$6*7</f>
        <v>2850603728</v>
      </c>
      <c r="C12" s="21">
        <v>988660839</v>
      </c>
      <c r="D12" s="20">
        <f t="shared" si="0"/>
        <v>0.58333333297522205</v>
      </c>
      <c r="E12" s="179">
        <f t="shared" si="1"/>
        <v>0.20231462434821787</v>
      </c>
    </row>
    <row r="13" spans="1:5" x14ac:dyDescent="0.2">
      <c r="A13" s="22" t="s">
        <v>13</v>
      </c>
      <c r="B13" s="190">
        <f>+$B$6*8</f>
        <v>3257832832</v>
      </c>
      <c r="C13" s="21">
        <v>1222766031</v>
      </c>
      <c r="D13" s="20">
        <f t="shared" si="0"/>
        <v>0.66666666625739668</v>
      </c>
      <c r="E13" s="179">
        <f t="shared" si="1"/>
        <v>0.25022074352388335</v>
      </c>
    </row>
    <row r="14" spans="1:5" x14ac:dyDescent="0.2">
      <c r="A14" s="22" t="s">
        <v>14</v>
      </c>
      <c r="B14" s="190">
        <f>+$B$6*9</f>
        <v>3665061936</v>
      </c>
      <c r="C14" s="21">
        <v>1600626290</v>
      </c>
      <c r="D14" s="20">
        <f t="shared" si="0"/>
        <v>0.74999999953957119</v>
      </c>
      <c r="E14" s="179">
        <f t="shared" si="1"/>
        <v>0.32754418280669012</v>
      </c>
    </row>
    <row r="15" spans="1:5" x14ac:dyDescent="0.2">
      <c r="A15" s="38" t="s">
        <v>15</v>
      </c>
      <c r="B15" s="190">
        <f>+$B$6*10</f>
        <v>4072291040</v>
      </c>
      <c r="C15" s="21">
        <v>1976691941</v>
      </c>
      <c r="D15" s="20">
        <f t="shared" si="0"/>
        <v>0.83333333282174582</v>
      </c>
      <c r="E15" s="179">
        <f t="shared" si="1"/>
        <v>0.40450038245680392</v>
      </c>
    </row>
    <row r="16" spans="1:5" x14ac:dyDescent="0.2">
      <c r="A16" s="38" t="s">
        <v>16</v>
      </c>
      <c r="B16" s="190">
        <f>+$B$6*11</f>
        <v>4479520144</v>
      </c>
      <c r="C16" s="21">
        <v>0</v>
      </c>
      <c r="D16" s="20">
        <f t="shared" si="0"/>
        <v>0.91666666610392034</v>
      </c>
      <c r="E16" s="179">
        <f t="shared" si="1"/>
        <v>0</v>
      </c>
    </row>
    <row r="17" spans="1:5" ht="13.5" thickBot="1" x14ac:dyDescent="0.25">
      <c r="A17" s="39" t="s">
        <v>17</v>
      </c>
      <c r="B17" s="218">
        <f>+$B$6*12+3</f>
        <v>4886749251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7" t="s">
        <v>33</v>
      </c>
      <c r="B4" s="278"/>
      <c r="C4" s="278"/>
      <c r="D4" s="278"/>
      <c r="E4" s="279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7" t="s">
        <v>34</v>
      </c>
      <c r="B5" s="278"/>
      <c r="C5" s="278"/>
      <c r="D5" s="278"/>
      <c r="E5" s="279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2025-12-19T13:10:08Z</dcterms:modified>
</cp:coreProperties>
</file>