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LANEACION\Desktop\PLANEACION\Documents\INFOTEP - PLANEACION 2016\PLAN DE COMPRAS\"/>
    </mc:Choice>
  </mc:AlternateContent>
  <bookViews>
    <workbookView xWindow="0" yWindow="0" windowWidth="8565" windowHeight="3180"/>
  </bookViews>
  <sheets>
    <sheet name="PLAN DE COMPRAS AÑO 2016" sheetId="12" r:id="rId1"/>
    <sheet name="PRESU DESAGREGADO 2016" sheetId="14" r:id="rId2"/>
    <sheet name="Cuantías para contratación" sheetId="13" state="hidden" r:id="rId3"/>
  </sheets>
  <externalReferences>
    <externalReference r:id="rId4"/>
  </externalReferences>
  <definedNames>
    <definedName name="_xlnm._FilterDatabase" localSheetId="0" hidden="1">'PLAN DE COMPRAS AÑO 2016'!$B$19:$N$221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7" i="12" l="1"/>
  <c r="K38" i="12"/>
  <c r="I208" i="12"/>
  <c r="K207" i="12"/>
  <c r="I108" i="12"/>
  <c r="C231" i="12"/>
  <c r="I130" i="12"/>
  <c r="K124" i="12"/>
  <c r="K148" i="12" l="1"/>
  <c r="K39" i="12"/>
  <c r="K40" i="12"/>
  <c r="J137" i="12" l="1"/>
  <c r="K136" i="12"/>
  <c r="I215" i="12"/>
  <c r="G9" i="14" l="1"/>
  <c r="G124" i="14"/>
  <c r="G125" i="14"/>
  <c r="L229" i="12" l="1"/>
  <c r="K195" i="12"/>
  <c r="K151" i="12"/>
  <c r="K182" i="12"/>
  <c r="I134" i="12"/>
  <c r="K200" i="12"/>
  <c r="K188" i="12" l="1"/>
  <c r="K189" i="12"/>
  <c r="K131" i="12"/>
  <c r="K133" i="12"/>
  <c r="K157" i="12"/>
  <c r="K156" i="12"/>
  <c r="K154" i="12"/>
  <c r="J153" i="12"/>
  <c r="K150" i="12"/>
  <c r="K172" i="12"/>
  <c r="K118" i="12" l="1"/>
  <c r="I119" i="12"/>
  <c r="K123" i="12"/>
  <c r="K98" i="12"/>
  <c r="K94" i="12"/>
  <c r="J125" i="12"/>
  <c r="K202" i="12" l="1"/>
  <c r="K203" i="12"/>
  <c r="K204" i="12"/>
  <c r="K205" i="12"/>
  <c r="K206" i="12"/>
  <c r="K208" i="12"/>
  <c r="K209" i="12"/>
  <c r="K210" i="12"/>
  <c r="K211" i="12"/>
  <c r="K212" i="12"/>
  <c r="K213" i="12"/>
  <c r="K214" i="12"/>
  <c r="K170" i="12" l="1"/>
  <c r="K178" i="12"/>
  <c r="K177" i="12"/>
  <c r="K96" i="12"/>
  <c r="K146" i="12"/>
  <c r="K149" i="12"/>
  <c r="J31" i="12" l="1"/>
  <c r="K30" i="12"/>
  <c r="I27" i="12" l="1"/>
  <c r="K26" i="12"/>
  <c r="I140" i="12"/>
  <c r="K140" i="12" s="1"/>
  <c r="J105" i="12"/>
  <c r="K108" i="12"/>
  <c r="K116" i="12"/>
  <c r="K119" i="12"/>
  <c r="K160" i="12"/>
  <c r="K185" i="12"/>
  <c r="K130" i="12" l="1"/>
  <c r="K36" i="12"/>
  <c r="K32" i="12"/>
  <c r="I106" i="12"/>
  <c r="J110" i="12"/>
  <c r="K110" i="12" s="1"/>
  <c r="K102" i="12"/>
  <c r="K95" i="12"/>
  <c r="K97" i="12"/>
  <c r="K100" i="12"/>
  <c r="K103" i="12"/>
  <c r="E124" i="14" l="1"/>
  <c r="E123" i="14"/>
  <c r="E122" i="14"/>
  <c r="E121" i="14"/>
  <c r="D121" i="14"/>
  <c r="C121" i="14"/>
  <c r="C120" i="14" s="1"/>
  <c r="E120" i="14" s="1"/>
  <c r="D120" i="14"/>
  <c r="E119" i="14"/>
  <c r="D118" i="14"/>
  <c r="E118" i="14" s="1"/>
  <c r="C118" i="14"/>
  <c r="C117" i="14"/>
  <c r="E116" i="14"/>
  <c r="D115" i="14"/>
  <c r="D114" i="14" s="1"/>
  <c r="C115" i="14"/>
  <c r="E115" i="14" s="1"/>
  <c r="E113" i="14"/>
  <c r="D112" i="14"/>
  <c r="D111" i="14" s="1"/>
  <c r="C112" i="14"/>
  <c r="E112" i="14" s="1"/>
  <c r="E110" i="14"/>
  <c r="E109" i="14"/>
  <c r="D108" i="14"/>
  <c r="D107" i="14" s="1"/>
  <c r="C108" i="14"/>
  <c r="E108" i="14" s="1"/>
  <c r="E106" i="14"/>
  <c r="E105" i="14"/>
  <c r="D105" i="14"/>
  <c r="C105" i="14"/>
  <c r="C104" i="14" s="1"/>
  <c r="D104" i="14"/>
  <c r="E103" i="14"/>
  <c r="D102" i="14"/>
  <c r="E102" i="14" s="1"/>
  <c r="C102" i="14"/>
  <c r="C101" i="14"/>
  <c r="E100" i="14"/>
  <c r="E99" i="14"/>
  <c r="D98" i="14"/>
  <c r="E98" i="14" s="1"/>
  <c r="C98" i="14"/>
  <c r="C97" i="14"/>
  <c r="E92" i="14"/>
  <c r="D91" i="14"/>
  <c r="D90" i="14" s="1"/>
  <c r="C91" i="14"/>
  <c r="E91" i="14" s="1"/>
  <c r="E89" i="14"/>
  <c r="D88" i="14"/>
  <c r="D87" i="14" s="1"/>
  <c r="C88" i="14"/>
  <c r="E88" i="14" s="1"/>
  <c r="E86" i="14"/>
  <c r="E85" i="14"/>
  <c r="D85" i="14"/>
  <c r="C85" i="14"/>
  <c r="C84" i="14" s="1"/>
  <c r="D84" i="14"/>
  <c r="D83" i="14" s="1"/>
  <c r="E82" i="14"/>
  <c r="E81" i="14"/>
  <c r="D80" i="14"/>
  <c r="E80" i="14" s="1"/>
  <c r="C80" i="14"/>
  <c r="E79" i="14"/>
  <c r="D78" i="14"/>
  <c r="E78" i="14" s="1"/>
  <c r="C78" i="14"/>
  <c r="E77" i="14"/>
  <c r="D76" i="14"/>
  <c r="E76" i="14" s="1"/>
  <c r="C76" i="14"/>
  <c r="E75" i="14"/>
  <c r="D74" i="14"/>
  <c r="E74" i="14" s="1"/>
  <c r="C74" i="14"/>
  <c r="E73" i="14"/>
  <c r="E72" i="14"/>
  <c r="E71" i="14"/>
  <c r="E70" i="14"/>
  <c r="D69" i="14"/>
  <c r="C69" i="14"/>
  <c r="E69" i="14" s="1"/>
  <c r="E68" i="14"/>
  <c r="E67" i="14"/>
  <c r="E66" i="14"/>
  <c r="E65" i="14"/>
  <c r="D65" i="14"/>
  <c r="C65" i="14"/>
  <c r="E64" i="14"/>
  <c r="E63" i="14"/>
  <c r="D62" i="14"/>
  <c r="C62" i="14"/>
  <c r="E62" i="14" s="1"/>
  <c r="E61" i="14"/>
  <c r="E60" i="14"/>
  <c r="E59" i="14"/>
  <c r="D58" i="14"/>
  <c r="E58" i="14" s="1"/>
  <c r="C58" i="14"/>
  <c r="E57" i="14"/>
  <c r="E56" i="14"/>
  <c r="E55" i="14"/>
  <c r="E54" i="14"/>
  <c r="E53" i="14"/>
  <c r="E52" i="14"/>
  <c r="E51" i="14"/>
  <c r="D50" i="14"/>
  <c r="C50" i="14"/>
  <c r="E50" i="14" s="1"/>
  <c r="E49" i="14"/>
  <c r="E48" i="14"/>
  <c r="D47" i="14"/>
  <c r="D46" i="14" s="1"/>
  <c r="D45" i="14" s="1"/>
  <c r="H45" i="14" s="1"/>
  <c r="C47" i="14"/>
  <c r="E47" i="14" s="1"/>
  <c r="E44" i="14"/>
  <c r="E43" i="14"/>
  <c r="E42" i="14"/>
  <c r="E41" i="14"/>
  <c r="E40" i="14"/>
  <c r="E39" i="14"/>
  <c r="E38" i="14"/>
  <c r="E37" i="14"/>
  <c r="D36" i="14"/>
  <c r="C36" i="14"/>
  <c r="E36" i="14" s="1"/>
  <c r="H35" i="14"/>
  <c r="E35" i="14"/>
  <c r="E34" i="14"/>
  <c r="E33" i="14"/>
  <c r="D32" i="14"/>
  <c r="C32" i="14"/>
  <c r="E32" i="14" s="1"/>
  <c r="G32" i="14" s="1"/>
  <c r="E31" i="14"/>
  <c r="D30" i="14"/>
  <c r="C30" i="14"/>
  <c r="E30" i="14" s="1"/>
  <c r="E29" i="14"/>
  <c r="C28" i="14"/>
  <c r="E28" i="14" s="1"/>
  <c r="E27" i="14"/>
  <c r="E26" i="14"/>
  <c r="E25" i="14"/>
  <c r="E24" i="14"/>
  <c r="E23" i="14"/>
  <c r="E22" i="14"/>
  <c r="E21" i="14"/>
  <c r="E20" i="14"/>
  <c r="D19" i="14"/>
  <c r="E19" i="14" s="1"/>
  <c r="C19" i="14"/>
  <c r="E18" i="14"/>
  <c r="E17" i="14"/>
  <c r="E16" i="14"/>
  <c r="D16" i="14"/>
  <c r="C16" i="14"/>
  <c r="E15" i="14"/>
  <c r="E14" i="14"/>
  <c r="D13" i="14"/>
  <c r="C13" i="14"/>
  <c r="E13" i="14" s="1"/>
  <c r="D11" i="14"/>
  <c r="H11" i="14" s="1"/>
  <c r="K201" i="12"/>
  <c r="E97" i="14" l="1"/>
  <c r="E84" i="14"/>
  <c r="E104" i="14"/>
  <c r="C46" i="14"/>
  <c r="C90" i="14"/>
  <c r="E90" i="14" s="1"/>
  <c r="D97" i="14"/>
  <c r="D101" i="14"/>
  <c r="E101" i="14" s="1"/>
  <c r="C114" i="14"/>
  <c r="E114" i="14" s="1"/>
  <c r="D117" i="14"/>
  <c r="E117" i="14" s="1"/>
  <c r="C87" i="14"/>
  <c r="E87" i="14" s="1"/>
  <c r="C107" i="14"/>
  <c r="E107" i="14" s="1"/>
  <c r="C111" i="14"/>
  <c r="E111" i="14" s="1"/>
  <c r="C12" i="14"/>
  <c r="G13" i="13"/>
  <c r="G11" i="13"/>
  <c r="G6" i="13"/>
  <c r="J230" i="12"/>
  <c r="J229" i="12"/>
  <c r="M222" i="12"/>
  <c r="M218" i="12"/>
  <c r="K199" i="12"/>
  <c r="K198" i="12"/>
  <c r="K197" i="12"/>
  <c r="K196" i="12"/>
  <c r="K194" i="12"/>
  <c r="K193" i="12"/>
  <c r="K192" i="12"/>
  <c r="K191" i="12"/>
  <c r="K190" i="12"/>
  <c r="K186" i="12"/>
  <c r="K184" i="12"/>
  <c r="K183" i="12"/>
  <c r="K181" i="12"/>
  <c r="K180" i="12"/>
  <c r="K179" i="12"/>
  <c r="K176" i="12"/>
  <c r="K175" i="12"/>
  <c r="K174" i="12"/>
  <c r="K173" i="12"/>
  <c r="K171" i="12"/>
  <c r="K169" i="12"/>
  <c r="K168" i="12"/>
  <c r="K167" i="12"/>
  <c r="K166" i="12"/>
  <c r="K165" i="12"/>
  <c r="K164" i="12"/>
  <c r="I163" i="12"/>
  <c r="K163" i="12" s="1"/>
  <c r="K162" i="12"/>
  <c r="K161" i="12"/>
  <c r="K158" i="12"/>
  <c r="K155" i="12"/>
  <c r="K153" i="12"/>
  <c r="K152" i="12"/>
  <c r="K147" i="12"/>
  <c r="K145" i="12"/>
  <c r="K144" i="12"/>
  <c r="K143" i="12"/>
  <c r="K142" i="12"/>
  <c r="K141" i="12"/>
  <c r="K138" i="12"/>
  <c r="K137" i="12"/>
  <c r="K135" i="12"/>
  <c r="K134" i="12"/>
  <c r="K132" i="12"/>
  <c r="K129" i="12"/>
  <c r="K128" i="12"/>
  <c r="K127" i="12"/>
  <c r="K126" i="12"/>
  <c r="K125" i="12"/>
  <c r="K122" i="12"/>
  <c r="K121" i="12"/>
  <c r="J120" i="12"/>
  <c r="I120" i="12"/>
  <c r="K117" i="12"/>
  <c r="K115" i="12"/>
  <c r="K114" i="12"/>
  <c r="K113" i="12"/>
  <c r="K111" i="12"/>
  <c r="I112" i="12"/>
  <c r="K107" i="12"/>
  <c r="K106" i="12"/>
  <c r="K105" i="12"/>
  <c r="O105" i="12" s="1"/>
  <c r="K104" i="12"/>
  <c r="K101" i="12"/>
  <c r="J99" i="12"/>
  <c r="I99" i="12"/>
  <c r="K93" i="12"/>
  <c r="K92" i="12"/>
  <c r="K91" i="12"/>
  <c r="K90" i="12"/>
  <c r="K89" i="12"/>
  <c r="K88" i="12"/>
  <c r="K87" i="12"/>
  <c r="K86" i="12"/>
  <c r="K85" i="12"/>
  <c r="K84" i="12"/>
  <c r="J83" i="12"/>
  <c r="K83" i="12" s="1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J45" i="12"/>
  <c r="K45" i="12" s="1"/>
  <c r="K44" i="12"/>
  <c r="K43" i="12"/>
  <c r="K41" i="12"/>
  <c r="K35" i="12"/>
  <c r="K33" i="12"/>
  <c r="I31" i="12"/>
  <c r="J29" i="12"/>
  <c r="I29" i="12"/>
  <c r="J27" i="12"/>
  <c r="K25" i="12"/>
  <c r="K24" i="12"/>
  <c r="K23" i="12"/>
  <c r="K22" i="12"/>
  <c r="K21" i="12"/>
  <c r="K20" i="12"/>
  <c r="C15" i="12"/>
  <c r="C14" i="12"/>
  <c r="J216" i="12" l="1"/>
  <c r="K112" i="12"/>
  <c r="J221" i="12"/>
  <c r="N221" i="12" s="1"/>
  <c r="J231" i="12"/>
  <c r="J232" i="12" s="1"/>
  <c r="C96" i="14"/>
  <c r="C11" i="14"/>
  <c r="E12" i="14"/>
  <c r="D96" i="14"/>
  <c r="D125" i="14" s="1"/>
  <c r="C83" i="14"/>
  <c r="E83" i="14" s="1"/>
  <c r="E46" i="14"/>
  <c r="C45" i="14"/>
  <c r="E45" i="14" s="1"/>
  <c r="G45" i="14" s="1"/>
  <c r="K34" i="12"/>
  <c r="K221" i="12"/>
  <c r="M221" i="12" s="1"/>
  <c r="K159" i="12"/>
  <c r="K187" i="12"/>
  <c r="K120" i="12"/>
  <c r="K31" i="12"/>
  <c r="K99" i="12"/>
  <c r="K109" i="12"/>
  <c r="K29" i="12"/>
  <c r="K220" i="12"/>
  <c r="K139" i="12"/>
  <c r="K27" i="12"/>
  <c r="K222" i="12" l="1"/>
  <c r="E11" i="14"/>
  <c r="C125" i="14"/>
  <c r="E125" i="14" s="1"/>
  <c r="G130" i="14"/>
  <c r="E96" i="14"/>
  <c r="G96" i="14" s="1"/>
  <c r="L221" i="12"/>
  <c r="J220" i="12" l="1"/>
  <c r="J222" i="12" s="1"/>
  <c r="I216" i="12"/>
  <c r="K216" i="12" s="1"/>
  <c r="K37" i="12"/>
  <c r="L220" i="12" s="1"/>
  <c r="L222" i="12" s="1"/>
  <c r="N222" i="12" s="1"/>
  <c r="K217" i="12" l="1"/>
</calcChain>
</file>

<file path=xl/comments1.xml><?xml version="1.0" encoding="utf-8"?>
<comments xmlns="http://schemas.openxmlformats.org/spreadsheetml/2006/main">
  <authors>
    <author>INFCONINTERNO</author>
  </authors>
  <commentList>
    <comment ref="I163" authorId="0" shapeId="0">
      <text>
        <r>
          <rPr>
            <b/>
            <sz val="9"/>
            <color indexed="81"/>
            <rFont val="Tahoma"/>
            <family val="2"/>
          </rPr>
          <t>INFCONINTERNO: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10"/>
            <rFont val="Tahoma"/>
            <family val="2"/>
          </rPr>
          <t>NO TIENE DEFINIDAS ACTIVIDADES    Y VALOR  - ESTE VALOR ES ESTIMADO -    NO CORRESPONDE A LA INFORMACION RECIBIDA DELPROYECTO</t>
        </r>
      </text>
    </comment>
    <comment ref="I164" authorId="0" shapeId="0">
      <text>
        <r>
          <rPr>
            <b/>
            <sz val="9"/>
            <color indexed="81"/>
            <rFont val="Tahoma"/>
            <family val="2"/>
          </rPr>
          <t>INFCONINTERNO: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10"/>
            <rFont val="Tahoma"/>
            <family val="2"/>
          </rPr>
          <t>NO TIENE DEFINIDAS ACTIVIDADES    Y VALOR  - ESTE VALOR ES ESTIMADO -    NO CORRESPONDE A LA INFORMACION RECIBIDA DELPROYECTO</t>
        </r>
      </text>
    </comment>
    <comment ref="I165" authorId="0" shapeId="0">
      <text>
        <r>
          <rPr>
            <b/>
            <sz val="9"/>
            <color indexed="81"/>
            <rFont val="Tahoma"/>
            <family val="2"/>
          </rPr>
          <t>INFCONINTERNO:</t>
        </r>
        <r>
          <rPr>
            <sz val="9"/>
            <color indexed="81"/>
            <rFont val="Tahoma"/>
            <family val="2"/>
          </rPr>
          <t xml:space="preserve">
TIENE </t>
        </r>
        <r>
          <rPr>
            <b/>
            <sz val="12"/>
            <color indexed="14"/>
            <rFont val="Tahoma"/>
            <family val="2"/>
          </rPr>
          <t xml:space="preserve">dos partidas   </t>
        </r>
        <r>
          <rPr>
            <b/>
            <sz val="12"/>
            <color indexed="32"/>
            <rFont val="Tahoma"/>
            <family val="2"/>
          </rPr>
          <t xml:space="preserve"> $30,000,000  para Gestionamiento de infraestructura adecuada para el ingreso de personas en condicion de discapacidad </t>
        </r>
        <r>
          <rPr>
            <b/>
            <sz val="12"/>
            <color indexed="39"/>
            <rFont val="Tahoma"/>
            <family val="2"/>
          </rPr>
          <t xml:space="preserve">  y    $20,000,000  para  Gestionamiento de espacios de inclusion</t>
        </r>
      </text>
    </comment>
    <comment ref="H177" authorId="0" shapeId="0">
      <text>
        <r>
          <rPr>
            <b/>
            <sz val="9"/>
            <color indexed="81"/>
            <rFont val="Tahoma"/>
            <family val="2"/>
          </rPr>
          <t>INFCONINTERNO:</t>
        </r>
        <r>
          <rPr>
            <sz val="9"/>
            <color indexed="81"/>
            <rFont val="Tahoma"/>
            <family val="2"/>
          </rPr>
          <t xml:space="preserve">
INCLUYE TRES (3) ACTIVIDADES  ASI:   A) Capacitar a funcionarios respecto a la normatividad vigente   B) apacitar a funcionarios respecto a Objetivos, metas y logros a cumplir  C) Apoyar al Departamento de Bienestar de INFOTEP para el cumplimiento de objetivos y metas -  EL VALOR  ASIGNADO  ES PARA CUALQUIERA D ELAS TRES ACTIVIDADES </t>
        </r>
      </text>
    </comment>
    <comment ref="H178" authorId="0" shapeId="0">
      <text>
        <r>
          <rPr>
            <b/>
            <sz val="9"/>
            <color indexed="81"/>
            <rFont val="Tahoma"/>
            <family val="2"/>
          </rPr>
          <t>INFCONINTERNO:</t>
        </r>
        <r>
          <rPr>
            <sz val="9"/>
            <color indexed="81"/>
            <rFont val="Tahoma"/>
            <family val="2"/>
          </rPr>
          <t xml:space="preserve">
INCLUYE TRES (3) ACTIVIDADES  ASI:   A) Capacitar a funcionarios respecto a la normatividad vigente   B) apacitar a funcionarios respecto a Objetivos, metas y logros a cumplir  C) Apoyar al Departamento de Bienestar de INFOTEP para el cumplimiento de objetivos y metas -  EL VALOR  ASIGNADO  ES PARA CUALQUIERA D ELAS TRES ACTIVIDADES </t>
        </r>
      </text>
    </comment>
    <comment ref="H179" authorId="0" shapeId="0">
      <text>
        <r>
          <rPr>
            <b/>
            <sz val="9"/>
            <color indexed="81"/>
            <rFont val="Tahoma"/>
            <family val="2"/>
          </rPr>
          <t>INFCONINTERNO:</t>
        </r>
        <r>
          <rPr>
            <sz val="9"/>
            <color indexed="81"/>
            <rFont val="Tahoma"/>
            <family val="2"/>
          </rPr>
          <t xml:space="preserve">
INCLUYE TRES (3) ACTIVIDADES  ASI:   A) Capacitar a funcionarios respecto a la normatividad vigente   B) apacitar a funcionarios respecto a Objetivos, metas y logros a cumplir  C) Apoyar al Departamento de Bienestar de INFOTEP para el cumplimiento de objetivos y metas -  EL VALOR  ASIGNADO  ES PARA CUALQUIERA D ELAS TRES ACTIVIDADES </t>
        </r>
      </text>
    </comment>
  </commentList>
</comments>
</file>

<file path=xl/comments2.xml><?xml version="1.0" encoding="utf-8"?>
<comments xmlns="http://schemas.openxmlformats.org/spreadsheetml/2006/main">
  <authors>
    <author>CONTABILIDAD</author>
  </authors>
  <commentList>
    <comment ref="B150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9.000 A CORREO QUE FALTÓ</t>
        </r>
      </text>
    </comment>
  </commentList>
</comments>
</file>

<file path=xl/sharedStrings.xml><?xml version="1.0" encoding="utf-8"?>
<sst xmlns="http://schemas.openxmlformats.org/spreadsheetml/2006/main" count="2067" uniqueCount="592">
  <si>
    <t>Mantenimiento preventivo y correctivo de laboratorios de sistemas</t>
  </si>
  <si>
    <t>Contratación de monitor para servicio diurno y nocturno de las salas de sistemas sede providencia</t>
  </si>
  <si>
    <t>Contratación de monitor para servicio diurno y nocturno de las salas de sistemas sede san andrés</t>
  </si>
  <si>
    <t>Mantenimiento y pintura interna y externa de la sede del Infotep Providencia</t>
  </si>
  <si>
    <t>Mantenimiento y pintura interna y externa de la sede del Infotep San Andrés</t>
  </si>
  <si>
    <t>Compra e instalación, dotación de muebles, enseres, equipos y maquinaria para las oficinas y laboratorios del Infotep</t>
  </si>
  <si>
    <t>Adecuación, Mantenimiento y Dotación de aulas y laboratorios</t>
  </si>
  <si>
    <t>Elaborar un plan de mantenimiento y adecuación de toda la iinfraestructura, incluye planos y presupuesto</t>
  </si>
  <si>
    <t>Adecuación y Mantenimiento del Area Administrativa</t>
  </si>
  <si>
    <t>Adecuación, Dotación y Mantenimiento del gimnasio</t>
  </si>
  <si>
    <t>Contratar Coordinador del Proyecto</t>
  </si>
  <si>
    <t>NACION</t>
  </si>
  <si>
    <t>PROPIOS</t>
  </si>
  <si>
    <t>Contratar personal para la Coordinación y administración general del proyecto</t>
  </si>
  <si>
    <t>Gestionar nuevas alianzas con IEM</t>
  </si>
  <si>
    <t>Contratar personal para la implementación y sostenibilidad del proyecto</t>
  </si>
  <si>
    <t>Asesorar y sensibilizar al departamento de bienestar en valores y cultura organizacional</t>
  </si>
  <si>
    <t>Apoyar al Departamento de Bienestar de INFOTEP para el cumplimiento de objetivos y metas</t>
  </si>
  <si>
    <t>Socialización y entrega de informes a la comunidad educativa</t>
  </si>
  <si>
    <t>Adecuar cartelera institucional</t>
  </si>
  <si>
    <t>Replantear los programas culturales, lúdicos y deportivos</t>
  </si>
  <si>
    <t>Capacitar a los servidores de la Institucion</t>
  </si>
  <si>
    <t>Jornadas de salud</t>
  </si>
  <si>
    <t>Actividades extracurriculares</t>
  </si>
  <si>
    <t>Mantenimiento a equipos del gimnasio para uso de la comunidad educativa</t>
  </si>
  <si>
    <t>PLAN ANUAL DE ADQUISICIONES</t>
  </si>
  <si>
    <t>A. INFORMACIÓN GENERAL DE LA ENTIDAD</t>
  </si>
  <si>
    <t>Nombre</t>
  </si>
  <si>
    <t>INSTITUTO NACIONAL DE FORMACION TECNICA PROFESIONAL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</si>
  <si>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</si>
  <si>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</si>
  <si>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COLOMBIA SARIE BAY</t>
  </si>
  <si>
    <t>Teléfono</t>
  </si>
  <si>
    <t>512-5770-512-1350</t>
  </si>
  <si>
    <t>Página web</t>
  </si>
  <si>
    <t>www.Infotepsai.edu.co</t>
  </si>
  <si>
    <t>EL INFOTEP es una Institución de Educación Superior, que ofrece formación técnica profesional, programas académicos en extensión orientados bajo los principios y valores institucionales, hacia la formación integral para toda la población del departamento insular y el caribe, buscando el desarrollo social, económico, científico, cultural, tecnológico y ambiental a través de la investigación; generando proyectos en alianza con el estado, sector productivo, los gremios, y otras instituciones, con talento humano idóneo, dando como resultado profesionales integrales, pensantes, emprendedores y formadores de una mejor calidad de vida con el trilingüismo como identidad cultural y proyección social para el Archipiélago.</t>
  </si>
  <si>
    <t>El INFOTEP se convertirá en la única Universidad pionera en temas propios de insularidad con proyección hacia el país y el Caribe, reconocida por la calidad de sus programas con egresados competitivos para satisfacer la demanda laboral del Departamento y la Nación, con infraestructura física, tecnológica y talento humano idóneo que garantice el cumplimiento de la Misión Institucional</t>
  </si>
  <si>
    <t>Perspectiva estratégica</t>
  </si>
  <si>
    <t>Información de contacto</t>
  </si>
  <si>
    <t>SECRETARIA GENERAL -   secretariageneral@infotepsai.edu.co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</si>
  <si>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</si>
  <si>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Preupuesto  Total</t>
  </si>
  <si>
    <t>7,258,158,545,OO</t>
  </si>
  <si>
    <t>Valor total del PAA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</si>
  <si>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</si>
  <si>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</si>
  <si>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</si>
  <si>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</si>
  <si>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Códigos UNSPSC</t>
  </si>
  <si>
    <t>Descripción</t>
  </si>
  <si>
    <t>Fecha estimada de inicio de proceso de selección</t>
  </si>
  <si>
    <t>Duración estimada del contrato</t>
  </si>
  <si>
    <t>RUBRO</t>
  </si>
  <si>
    <t xml:space="preserve">Modalidad de selección </t>
  </si>
  <si>
    <t xml:space="preserve">RECURSOS </t>
  </si>
  <si>
    <t>Valor estimado en la vigencia actual</t>
  </si>
  <si>
    <t>¿Se requieren vigencias futuras?</t>
  </si>
  <si>
    <t>Estado de solicitud de vigencias futuras</t>
  </si>
  <si>
    <t>Datos de contacto del responsable</t>
  </si>
  <si>
    <t>CONTRATAR EL SERVICIO DE CORREO Y MENSAJERIA NACIONAL</t>
  </si>
  <si>
    <t xml:space="preserve">FEBRERO </t>
  </si>
  <si>
    <t>10 MESES</t>
  </si>
  <si>
    <t>REMUNERACION SERVICIOS TECNICOS</t>
  </si>
  <si>
    <t xml:space="preserve">CONTRATACION DIRECTA </t>
  </si>
  <si>
    <t>NO</t>
  </si>
  <si>
    <t>N/A</t>
  </si>
  <si>
    <t>SECRETARIA GENERAL - secretariageneral@infotepsai.edu.co</t>
  </si>
  <si>
    <t xml:space="preserve">Contratar Servicios - de Publicidad Propaganda, suscripciones y otros gastos  Po rImpresos y Publicaciones  ( SUSCRIPCIONES DE DIARIOS PERIODICOS Y REVISTAS A NIVEL NACIONAL CON DESTINO RECTORIA  Y BIBLIOTECA) </t>
  </si>
  <si>
    <t>FEBRERO</t>
  </si>
  <si>
    <t xml:space="preserve">7 MESES </t>
  </si>
  <si>
    <t>SUSCRIPCIONES</t>
  </si>
  <si>
    <t>NACION-PROPIOS</t>
  </si>
  <si>
    <t>CONTRATAR EL SERVICIO DE TRANSPORTE DE ESTUDIANTES  - REGULARES  Y  ARTICULADOS .</t>
  </si>
  <si>
    <t>8 MESES</t>
  </si>
  <si>
    <t>BIENESTAR  UNIVERSITARIO</t>
  </si>
  <si>
    <t>MARZO</t>
  </si>
  <si>
    <t>CONTRATACION DIRECTA</t>
  </si>
  <si>
    <t xml:space="preserve">SUMINISTRO DE DOTACIONES PARA LOS FUNCIONARIOS DE LA INFOTEP . </t>
  </si>
  <si>
    <t>MAYO</t>
  </si>
  <si>
    <t>01 MES</t>
  </si>
  <si>
    <t>DOTACION</t>
  </si>
  <si>
    <t xml:space="preserve"> MÍNIMA CUANTÍA</t>
  </si>
  <si>
    <t xml:space="preserve">SELECCIONAR COMPAÑÍAS DE SEGUROS LEGALMENTE CONSTITUIDAS Y DOMICILADAS EN COLOMBIA CON LA FINALIDAD DE CONTRATAR LAS PÓLIZAS DE SEGUROS REQUERIDAS PARA LA ADECUADA PROTECCIÓN DE LOS BIENES E INTERESES PATRIMONIALES DE PROPIEDAD DE INFOTEP </t>
  </si>
  <si>
    <t>SEGUROS</t>
  </si>
  <si>
    <t>LICITACION PUBLICA</t>
  </si>
  <si>
    <t>CONTRATAR EL SERVICIO DE ASEO EN LAS INSTALACIONES DEL  INFOTEP  SAN ANDRES ISLAS</t>
  </si>
  <si>
    <t>ENERO</t>
  </si>
  <si>
    <t xml:space="preserve">MANTENIMIENTO </t>
  </si>
  <si>
    <t xml:space="preserve">MENOR  CUANTIA </t>
  </si>
  <si>
    <t>CONTRATAR EL SERVICIO DE  Mantenimiento de Bienes Muebles, Equipos y Enseres</t>
  </si>
  <si>
    <t>CONTRATAR EL SERVICIO DE VIGILANCIA  EN LAS INSTALACIONES DEL  INFOTEP  SAN ANDRES ISLAS</t>
  </si>
  <si>
    <t>MENOR CUANTIA</t>
  </si>
  <si>
    <t>HONORARIOS</t>
  </si>
  <si>
    <t xml:space="preserve">MINIMA CUANTIA </t>
  </si>
  <si>
    <t>80111600
80161501</t>
  </si>
  <si>
    <t>SERVICIOS PROFESIONALES PARA APOYO A LA ENTIDAD.-  CONTRATACION</t>
  </si>
  <si>
    <t>80111600
80161502</t>
  </si>
  <si>
    <t xml:space="preserve">PROPIOS </t>
  </si>
  <si>
    <t>ASESORIAS FORTALECIMIENTO INSTITUCIONAL- ASESORIAS  AL DIRECCIONAMIETO  ESTRATEGICO</t>
  </si>
  <si>
    <t xml:space="preserve">ASESORIAS FORTALECIMIENTO INSTITUCIONAL- ASESORIAS  A PROCESOS  MISIONALES </t>
  </si>
  <si>
    <t xml:space="preserve">ADQUISICION DE AIRES ACONDICIONADOS </t>
  </si>
  <si>
    <t>JUNIO</t>
  </si>
  <si>
    <t>2 MESES</t>
  </si>
  <si>
    <t>Compra de equipo</t>
  </si>
  <si>
    <t xml:space="preserve">BIENESTAR SOCIAL - REALIZACION DE EVENTOS DEPORTIVOS </t>
  </si>
  <si>
    <t xml:space="preserve">03 MESES </t>
  </si>
  <si>
    <t xml:space="preserve">AGOSTO </t>
  </si>
  <si>
    <t xml:space="preserve">CONTRATACION DESARROLLO DE PROGRAMAS ACADEMICOS  DE EXTENSION  EN - IDIOMA INGLES </t>
  </si>
  <si>
    <t>ABRIL</t>
  </si>
  <si>
    <t>3 MESES</t>
  </si>
  <si>
    <t xml:space="preserve">PEGANTE </t>
  </si>
  <si>
    <t xml:space="preserve">1MES </t>
  </si>
  <si>
    <t>Otros Materiales y Sumininistros</t>
  </si>
  <si>
    <t xml:space="preserve">MARCADOR </t>
  </si>
  <si>
    <t xml:space="preserve">CAJA CARTON C-720K PARA ARCHIVO L-200  S/M </t>
  </si>
  <si>
    <t>SOBRE MANILA</t>
  </si>
  <si>
    <t>BOLIGRAFO  COLOR NEGRO</t>
  </si>
  <si>
    <t>LAPICES</t>
  </si>
  <si>
    <t>BORRADORES</t>
  </si>
  <si>
    <t>CARPETAS PLASTIFICADAS ARCHIVO 4 ALETAS</t>
  </si>
  <si>
    <t>LIBRO DE CONTABILIDAD</t>
  </si>
  <si>
    <t>DVD  y CD  X 100 UNIDADES CON SOBRE</t>
  </si>
  <si>
    <t>CLIP MARIPOSA GRANDE X CAJA</t>
  </si>
  <si>
    <t>CLIP DE COLORES PEQUEÑO X CAJA</t>
  </si>
  <si>
    <t>CARPETAS AZ BLANCA</t>
  </si>
  <si>
    <t>SACAGANCHO</t>
  </si>
  <si>
    <t>RESALTADORES X CAJA</t>
  </si>
  <si>
    <t xml:space="preserve">PAPEL  CARTULINA KIMBERLY </t>
  </si>
  <si>
    <t>MES</t>
  </si>
  <si>
    <t>GANCHO CLIP PLASTIFICADO</t>
  </si>
  <si>
    <t>TELEFONO ALAMBRICO</t>
  </si>
  <si>
    <t xml:space="preserve">1 MES </t>
  </si>
  <si>
    <t>CARTELERA</t>
  </si>
  <si>
    <t xml:space="preserve">ABRIL </t>
  </si>
  <si>
    <t>1 MES</t>
  </si>
  <si>
    <t>ESCOBA</t>
  </si>
  <si>
    <t>DETERGENTE EN POLVO POR PACA DE 24</t>
  </si>
  <si>
    <t>CLORO X GALON</t>
  </si>
  <si>
    <t>ACIDO MURIATICO</t>
  </si>
  <si>
    <t>DESINFECTANTE GALON</t>
  </si>
  <si>
    <t>BOLSAS DE BASURA NEGRA X 10 UNIDADES</t>
  </si>
  <si>
    <t>BOLSAS DE BASURA CANASTILLA X 10 UNIDADES</t>
  </si>
  <si>
    <t>PAPEL  HIGIENICO INDUSTRIA</t>
  </si>
  <si>
    <t xml:space="preserve">JABON CREMA LAVAPLATOS </t>
  </si>
  <si>
    <t>TRAPERO</t>
  </si>
  <si>
    <t xml:space="preserve">JABON EN POLVO  </t>
  </si>
  <si>
    <t>AMBIENTADOR</t>
  </si>
  <si>
    <t>GUANTES</t>
  </si>
  <si>
    <t>RASTRILLO</t>
  </si>
  <si>
    <t>POLVO - AJAX EN TARRO</t>
  </si>
  <si>
    <t xml:space="preserve">CANECAS </t>
  </si>
  <si>
    <t>PULIDORA</t>
  </si>
  <si>
    <t>VISAGRAS EN ACERO INOXIDABLES</t>
  </si>
  <si>
    <t>W40</t>
  </si>
  <si>
    <t xml:space="preserve">PINTURA GRIS PLATA EN ACEITE </t>
  </si>
  <si>
    <t xml:space="preserve">PINTURA ANTICORROSIVO </t>
  </si>
  <si>
    <t xml:space="preserve">CEPILLO DE ACERO O GRATA </t>
  </si>
  <si>
    <t xml:space="preserve">AZUCAR </t>
  </si>
  <si>
    <t>CAFE MOLIDO</t>
  </si>
  <si>
    <t>VASOS DESECHABLES 8 OZ X PACA DE 25</t>
  </si>
  <si>
    <t>VASOS DESECHABLES X TINTO POX PACA DE 25</t>
  </si>
  <si>
    <t>Recargue de Extintores</t>
  </si>
  <si>
    <t>84111500 Cód. 84111500 - Servicios contables</t>
  </si>
  <si>
    <t>2 CONTRATACIÓN DIRECTA</t>
  </si>
  <si>
    <t>Contratacion  de  Papelería, Utiles de Escritorio y Oficina</t>
  </si>
  <si>
    <t>Papelería, Utiles de Escritorio y Oficina</t>
  </si>
  <si>
    <t>MINIMA CUANTIA</t>
  </si>
  <si>
    <t>80121700 Cód. 80121700 - Servicios de responsabilidad civil</t>
  </si>
  <si>
    <t xml:space="preserve">10 MESES </t>
  </si>
  <si>
    <t>76111500 Cód. 76111500 - Servicios de limpieza de edificios y oficinas en general</t>
  </si>
  <si>
    <t>Prestaciòn servicios recurso humano para que desarrolle labores de aseo, mantenimiento, limpieza, cafeterìa en las instalaciones y las zonas comunes del Instituto Nacional de Formaciòn Tècnica Profesional San Andrès, Providencia INFOTEP</t>
  </si>
  <si>
    <t>02 MESES</t>
  </si>
  <si>
    <t>86121700 Cód. 86121700 - Universidades</t>
  </si>
  <si>
    <t xml:space="preserve">8 MESES </t>
  </si>
  <si>
    <t>80161500 Cód. 80161500 - Servicios de apoyo a la gestión</t>
  </si>
  <si>
    <t>81111800 Cód. 81111800 - Administradores de sistemas</t>
  </si>
  <si>
    <t>Prestaciòn de servicios profesionales para la coordinaciòn general de la sede del INFOTEP en la Isla de Providencia.</t>
  </si>
  <si>
    <t>PROYECTO DE INVERSION</t>
  </si>
  <si>
    <t>CONTRATACIÓN DIRECTA</t>
  </si>
  <si>
    <t>PROYECTO SEDE PROVIDENCIA</t>
  </si>
  <si>
    <t>86101700 Cód. 86101700 - Servicios de formación profesional no científica</t>
  </si>
  <si>
    <t>93141500 Cód. 93141500 - Desarrollo social y servicios</t>
  </si>
  <si>
    <t>Prestaciòn de servicios profesionales para apoyo a bienestar social y universitario para coordinar el programa de deportes y salud ocupacional en el INFOTEP.</t>
  </si>
  <si>
    <t>PROYECTO DE TECNOLOGIA</t>
  </si>
  <si>
    <t>80101600 Cód. 80101600 - Gestión de proyectos</t>
  </si>
  <si>
    <t>9 MESES</t>
  </si>
  <si>
    <t>PROYECTO DE CALIDAD</t>
  </si>
  <si>
    <t>Prestaciòn de servicios de apoyo a la gestiòn del Centro de Recursos Tecnològicos en la biblioteca, para la organizaciòn, atenciòn y servicio de fotocopiado.</t>
  </si>
  <si>
    <t>05 MESES</t>
  </si>
  <si>
    <t xml:space="preserve">JULIO </t>
  </si>
  <si>
    <t>50202300 Cód. 50202300 - Bebidas no alcohólicas</t>
  </si>
  <si>
    <t xml:space="preserve">Suministro de agua potable en botellons para los funcionarios y personal del INFOTEP  Y PRODUCTOS DE ASEO Y CAFETERIA </t>
  </si>
  <si>
    <t>MATERIALES Y SUMINISTRO</t>
  </si>
  <si>
    <t>80131500 Cód. 80131500 - Arrendamiento o alquiler de propiedades o edificios</t>
  </si>
  <si>
    <t xml:space="preserve">ARRENDAMIENTO </t>
  </si>
  <si>
    <t>CONTRATO DE PRESTACION DE SERVICIOS - PROFESIONALES</t>
  </si>
  <si>
    <t>OCTUBRE</t>
  </si>
  <si>
    <t>03 MESES</t>
  </si>
  <si>
    <t xml:space="preserve">SERVICIOS PROFESIONALES DE PSICOLOGA - PARA APOYO A LA OFICINA DE BIENESTAR - </t>
  </si>
  <si>
    <t>PROYECTO INTERNACIONALIZACION</t>
  </si>
  <si>
    <t xml:space="preserve">Participación del INFOTEP en Alianzas y Redes estratégicas-  según convocatorias </t>
  </si>
  <si>
    <t>09 MESES</t>
  </si>
  <si>
    <t>Contratar Servicios  Profesionales  para realizar la  Capacitacion  en el área de la internacionalización de la investigación</t>
  </si>
  <si>
    <t>04 MESES</t>
  </si>
  <si>
    <t>Contratar los servicios profesionales con el fin de  Crear cursos internacionales o intercambios culturales</t>
  </si>
  <si>
    <t>Contratar los servicios profesionales con el fin de  Ofertar y ejecutar cursos internacionales o intercambios culturales</t>
  </si>
  <si>
    <t>AGOSTO</t>
  </si>
  <si>
    <t>Contratar   servicios de  personal de apoyo, dotación y logistica para el desarrollo del proyecto.</t>
  </si>
  <si>
    <t>Contratacion  Horas Catedra - Docentes PRIMER SEMESTRE 2016</t>
  </si>
  <si>
    <t>5 MESES</t>
  </si>
  <si>
    <t>Horas Catedra</t>
  </si>
  <si>
    <t>RESOLUCION</t>
  </si>
  <si>
    <t xml:space="preserve">NACION-PROPIOS </t>
  </si>
  <si>
    <t>Contratacion  Horas Catedra - Docentes SEGUNDO  SEMESTRE 2017</t>
  </si>
  <si>
    <t>JULIO</t>
  </si>
  <si>
    <t>Contratar  Servicios de Mantenimiento anual de equipos para uso directo del proyecto  y Mantenimiento anual de laboratorios para uso directo del proyecto</t>
  </si>
  <si>
    <t>PROYECTO DE ARTICULACION</t>
  </si>
  <si>
    <t>Contratacion   Adquisición Anual de Uniformes a Estudiantes Articulados</t>
  </si>
  <si>
    <t>02 MESS</t>
  </si>
  <si>
    <t>Contratacion   para  Actualizar el plan de medios y ejecutar actividades de promoción.</t>
  </si>
  <si>
    <t>Contratar  Prestacion de Servicios  profesionales para  Desarrollar programas de orientación vocacional a estudiantes de 9° 10° y 11° de las IEM en alianza</t>
  </si>
  <si>
    <t>Contratar Servicios  Tecnicos para   Diseñar e imprimir material publicitario de apoyo.</t>
  </si>
  <si>
    <t xml:space="preserve">Contrato de suministro   -  Adquirir equipos de cómputo - caracetristicas por definir </t>
  </si>
  <si>
    <t>Contratacion   para la   Adquisición de licencias y software de equipos de gestión y comunicación de data center</t>
  </si>
  <si>
    <t xml:space="preserve">Contratacion de suministro   -  Comprar y adquirir materiales y equipos  para la isla de providencia </t>
  </si>
  <si>
    <t>Contratacion de  Suministro   -  Adquirir material bibliográfico</t>
  </si>
  <si>
    <t xml:space="preserve">Contratacion  de  obra  y/ Diseño   para la construccion  yo/  Gestionamiento de infraestructura  y Gestionamiento de espacios de inclusion  y para  el  adecuado el ingreso de personas en condicion de discapacidad  (DISEÑOS) </t>
  </si>
  <si>
    <t xml:space="preserve">PROYECTO DE INCLUSION </t>
  </si>
  <si>
    <t>Contratacion de profesional para Capacitacion en Brayle, lengua de señas</t>
  </si>
  <si>
    <t>06 MESES</t>
  </si>
  <si>
    <t>Contratar Campañas de Divulgacion y Socializacion  - Y Comunicación   ---   Acompañamiento a la comunidad para informar y sensibilizar acerca de esta tematica</t>
  </si>
  <si>
    <t>Contratar Servicios Profesionales de Apoyo en Acompañamiento de personal de la salud para la senbilizacion e informacion sobre el manejo de la personas en esta condicion</t>
  </si>
  <si>
    <t>SEPTIEMBRE</t>
  </si>
  <si>
    <t>PROYECTO DE BIENESTAR</t>
  </si>
  <si>
    <t xml:space="preserve">PROYECTO DE LENGUA </t>
  </si>
  <si>
    <t>07 MESES</t>
  </si>
  <si>
    <t>Contratar   servicios de apoyo  para  Promover el  Intercambio Estudiantil</t>
  </si>
  <si>
    <t>Contratacion de servicios profesionales-  Contratar Docentes para la implementación de los Programas en lenguas</t>
  </si>
  <si>
    <t>Prestacion de Servicios  en la Realizacion de talleres de capacitación-  y/o asistencia  a Talleres de Capacitacion conforme  el  Plan de Capacitación para la comunidad educativa en temas propios para la implementación del SIG</t>
  </si>
  <si>
    <t>Contratacion de suministro y/o eleboracion de Material Publicitario para la implementación del proyecto</t>
  </si>
  <si>
    <t>11  MESES</t>
  </si>
  <si>
    <t>Contratar Servicios o realizar  gestiones  para   la certificacion de la norma NTCGP 1000</t>
  </si>
  <si>
    <t>Contratacion de Servicios Profesionales para Gestionar auditorías externas para la norma NTCGP 1000</t>
  </si>
  <si>
    <t>Contratar Servicios  Tecnicos de Apoyo  para Actualizar el aplicativo de manejo documental del SIG</t>
  </si>
  <si>
    <t>82101800 Cód. 82101800 - Servicios de agencia publicitaria</t>
  </si>
  <si>
    <t>Contratar Servicios Profesionales   y/o Suministro  para Realizar actividades de socialización, motivación e interiorización de las normas en la comunidad educativa</t>
  </si>
  <si>
    <t>Contratar Prestacion de Servicios  para la  Realizacion de  Preauditoria  requerida  para presentarnos para la solicitud de Certificacion NTCGP 1000-2009</t>
  </si>
  <si>
    <t xml:space="preserve">Contratacion de Seguros Generales   y de manejo </t>
  </si>
  <si>
    <t>Seguros</t>
  </si>
  <si>
    <t>Contratacion de prestacion de Servicios  de Viaje - Viáticos y Gastos de Viaje al Interior</t>
  </si>
  <si>
    <t xml:space="preserve">Viáticos y Gastos de Viaje al Interior </t>
  </si>
  <si>
    <t xml:space="preserve">NACION - PROPIOS </t>
  </si>
  <si>
    <t>Contratacion de Servicios   de  Capacitación, Bienestar Social y Estímulos</t>
  </si>
  <si>
    <t>Capacitación, Bienestar Social y Estímulos</t>
  </si>
  <si>
    <t xml:space="preserve">DIFERENCIA </t>
  </si>
  <si>
    <t xml:space="preserve">PLAN DE COMPRAS </t>
  </si>
  <si>
    <t>%</t>
  </si>
  <si>
    <t>TOTAL</t>
  </si>
  <si>
    <t>VERIFICACION</t>
  </si>
  <si>
    <t>VALOR PLAN DE COMPRAS  2016</t>
  </si>
  <si>
    <t>PRESUPUESTO INVERSION  2016</t>
  </si>
  <si>
    <t>TOTAL  PRESUPUESTO PARA PLAN DE COMPRAS</t>
  </si>
  <si>
    <t>Presupuesto total</t>
  </si>
  <si>
    <t>Año</t>
  </si>
  <si>
    <t xml:space="preserve">SMLV </t>
  </si>
  <si>
    <t>Las que tengan un presupuesto anual inferior a 120.000 salarios mínimos legales mensuales, la menor cuantía será hasta 280 salarios mínimos legales mensuales;</t>
  </si>
  <si>
    <t>La contratación de menor cuantía.</t>
  </si>
  <si>
    <t>Mínima cuantía</t>
  </si>
  <si>
    <t>Mayor cuantía</t>
  </si>
  <si>
    <t>Mayor a</t>
  </si>
  <si>
    <t>Mayor a 19,304,712 hasta 193,047,0120</t>
  </si>
  <si>
    <t>Menor a</t>
  </si>
  <si>
    <t>Menor cuantía.</t>
  </si>
  <si>
    <t xml:space="preserve"> MEJORAMIENTO Y DOTACIÓN DE LA INFRAESTRUCTURA FÍSICA DEL INFOTEP DE SAN ANDRÉS.</t>
  </si>
  <si>
    <t>SERVICIO OUTSOURCING (2 meses)</t>
  </si>
  <si>
    <t>ANEXO RESOLUCIÓN 001 DE 2016</t>
  </si>
  <si>
    <t>PRESUPUESTO  2016</t>
  </si>
  <si>
    <t>SECCIÓN   :    2238 INSTITUTO  NACIONAL  DE  FORMACIÓN  TÉCNICA  PROFESIONAL  DE  SAN  ANDRES  ISLAS</t>
  </si>
  <si>
    <t>CODIGO</t>
  </si>
  <si>
    <t>DESCRIPCIÓN</t>
  </si>
  <si>
    <t>APORTE</t>
  </si>
  <si>
    <t>RECURSOS</t>
  </si>
  <si>
    <t>NACIÓN</t>
  </si>
  <si>
    <t xml:space="preserve">APROPIACIÓN </t>
  </si>
  <si>
    <t xml:space="preserve"> A  FUNCIONAMIENTO</t>
  </si>
  <si>
    <t>A 1</t>
  </si>
  <si>
    <t>GASTOS DE PERSONAL</t>
  </si>
  <si>
    <t>A 101</t>
  </si>
  <si>
    <t>Servicios Personales Asociados a Nomina</t>
  </si>
  <si>
    <t>A 1011</t>
  </si>
  <si>
    <t>Sueldos de Personal de Nomina</t>
  </si>
  <si>
    <t>A 10111</t>
  </si>
  <si>
    <t xml:space="preserve">Sueldos </t>
  </si>
  <si>
    <t>A 10112</t>
  </si>
  <si>
    <t>Sueldos de Vacaciones</t>
  </si>
  <si>
    <t>A1014</t>
  </si>
  <si>
    <t>Prima Tecnica</t>
  </si>
  <si>
    <t>A 10141</t>
  </si>
  <si>
    <t>Prima Tecnica Salarial</t>
  </si>
  <si>
    <t>A 10142</t>
  </si>
  <si>
    <t>Prima Tecnica No Salarial</t>
  </si>
  <si>
    <t>A1015</t>
  </si>
  <si>
    <t>Otros</t>
  </si>
  <si>
    <t>A10152</t>
  </si>
  <si>
    <t>Bonificación por Servicios Prestados</t>
  </si>
  <si>
    <t>A10155</t>
  </si>
  <si>
    <t>Bonificación Especial de Recreación</t>
  </si>
  <si>
    <t>A101512</t>
  </si>
  <si>
    <t>Subsidio de Alimentación</t>
  </si>
  <si>
    <t>A101513</t>
  </si>
  <si>
    <t>Auxilio de Transporte</t>
  </si>
  <si>
    <t>A101514</t>
  </si>
  <si>
    <t>Prima de Servicio</t>
  </si>
  <si>
    <t>A101515</t>
  </si>
  <si>
    <t>Prima de Vacaciones</t>
  </si>
  <si>
    <t>A101516</t>
  </si>
  <si>
    <t>Prima de Navidad</t>
  </si>
  <si>
    <t>A101517</t>
  </si>
  <si>
    <t>Primas Extraordinarias</t>
  </si>
  <si>
    <t>A10110</t>
  </si>
  <si>
    <t>Otros Gastos Personales - Distribución Previo Concepto DGPPN</t>
  </si>
  <si>
    <t>A10111</t>
  </si>
  <si>
    <t>A1019</t>
  </si>
  <si>
    <t>Horas Extras, Dias Festivos e indemnización por Vacaciones</t>
  </si>
  <si>
    <t>A10193</t>
  </si>
  <si>
    <t>Indemnización Por Vacaciones</t>
  </si>
  <si>
    <t>A102</t>
  </si>
  <si>
    <t>Servicios Personales Indirectos</t>
  </si>
  <si>
    <t>A10212</t>
  </si>
  <si>
    <t>Honorarios</t>
  </si>
  <si>
    <t>OK</t>
  </si>
  <si>
    <t>A10214</t>
  </si>
  <si>
    <t>Remuneración Servicios Técnicos</t>
  </si>
  <si>
    <t>A10216</t>
  </si>
  <si>
    <t>A105</t>
  </si>
  <si>
    <t>Contribuciones Inherentes a la Nómina Sector Privado y Público</t>
  </si>
  <si>
    <t>A10511</t>
  </si>
  <si>
    <t>Cajas de Compensación Privadas</t>
  </si>
  <si>
    <t>A10513</t>
  </si>
  <si>
    <t>Fondos Administradores de Pensiones Privadas</t>
  </si>
  <si>
    <t>A10514</t>
  </si>
  <si>
    <t>Empresas Privadas Promotoras de Salud</t>
  </si>
  <si>
    <t>A10522</t>
  </si>
  <si>
    <t>Fondo Nacional del Ahorro</t>
  </si>
  <si>
    <t>A10523</t>
  </si>
  <si>
    <t>Fondos Administradores de Pensiones Públicos</t>
  </si>
  <si>
    <t>A10527</t>
  </si>
  <si>
    <t>Administradoras Públicas de Aportes Para Accidentes de Trabajo y Enfermedades Profesionales</t>
  </si>
  <si>
    <t>A1056</t>
  </si>
  <si>
    <t>Aportes al ICBF</t>
  </si>
  <si>
    <t>A1057</t>
  </si>
  <si>
    <t>Aportes al SENA</t>
  </si>
  <si>
    <t>A 2</t>
  </si>
  <si>
    <t>GASTOS GENERALES</t>
  </si>
  <si>
    <t>A204</t>
  </si>
  <si>
    <t>Adquisición de Bienes y Servicios</t>
  </si>
  <si>
    <t>A 2041</t>
  </si>
  <si>
    <t>A20416</t>
  </si>
  <si>
    <t>Equipo de Sistemas</t>
  </si>
  <si>
    <t>A204125</t>
  </si>
  <si>
    <t>Otras Compras de Equipos</t>
  </si>
  <si>
    <t>A2044</t>
  </si>
  <si>
    <t>Materiales y Suministro</t>
  </si>
  <si>
    <t>A20441</t>
  </si>
  <si>
    <t>Combustible y Lubricantes</t>
  </si>
  <si>
    <t>A20442</t>
  </si>
  <si>
    <t>Dotación</t>
  </si>
  <si>
    <t>A204415</t>
  </si>
  <si>
    <t>A204417</t>
  </si>
  <si>
    <t>Productos de Aseo y Limpieza</t>
  </si>
  <si>
    <t>A204418</t>
  </si>
  <si>
    <t>Productos de Cafetería y Restaurante</t>
  </si>
  <si>
    <t>A204420</t>
  </si>
  <si>
    <t>Repuestos</t>
  </si>
  <si>
    <t>A204423</t>
  </si>
  <si>
    <t>Otros Materiales y Suministros</t>
  </si>
  <si>
    <t>A2045</t>
  </si>
  <si>
    <t xml:space="preserve">Mantenimiento </t>
  </si>
  <si>
    <t>A20452</t>
  </si>
  <si>
    <t>Mantenimiento de Bienes Muebles, Equipos y Enseres</t>
  </si>
  <si>
    <t>A20458</t>
  </si>
  <si>
    <t>Servicio de Aseo</t>
  </si>
  <si>
    <t>A204510</t>
  </si>
  <si>
    <t>Servicio de Seguridad y Vigilancia</t>
  </si>
  <si>
    <t>A2046</t>
  </si>
  <si>
    <t>Comunicaciones y Transportes</t>
  </si>
  <si>
    <t>A20462</t>
  </si>
  <si>
    <t>Correo</t>
  </si>
  <si>
    <t>A20467</t>
  </si>
  <si>
    <t>Transporte</t>
  </si>
  <si>
    <t>A2047</t>
  </si>
  <si>
    <t>Impresos y Publicaciones</t>
  </si>
  <si>
    <t>A20474</t>
  </si>
  <si>
    <t>Publicidad y Propaganda</t>
  </si>
  <si>
    <t>A20475</t>
  </si>
  <si>
    <t>Suscripciones</t>
  </si>
  <si>
    <t>A20476</t>
  </si>
  <si>
    <t>Otros Gastos por Impresos y Publicaciones</t>
  </si>
  <si>
    <t>A2048</t>
  </si>
  <si>
    <t>Servicios Públicos</t>
  </si>
  <si>
    <t>A20481</t>
  </si>
  <si>
    <t>Acueducto Alcantarillado y Aseo</t>
  </si>
  <si>
    <t>A20482</t>
  </si>
  <si>
    <t>Energía</t>
  </si>
  <si>
    <t>A20485</t>
  </si>
  <si>
    <t>Telefonía movil celular</t>
  </si>
  <si>
    <t>A20486</t>
  </si>
  <si>
    <t>Teléfono, Fax y Otros</t>
  </si>
  <si>
    <t>A2049</t>
  </si>
  <si>
    <t>A204911</t>
  </si>
  <si>
    <t>Seguros Generales</t>
  </si>
  <si>
    <t>A20410</t>
  </si>
  <si>
    <t>Arrendamientos</t>
  </si>
  <si>
    <t>A204102</t>
  </si>
  <si>
    <t>Arrendamiento Bienes Inmuebles</t>
  </si>
  <si>
    <t>A20411</t>
  </si>
  <si>
    <t xml:space="preserve">Viáticos y Gastos de Viaje </t>
  </si>
  <si>
    <t>A204112</t>
  </si>
  <si>
    <t>Viáticos y Gastos de Viaje al Interior</t>
  </si>
  <si>
    <t>A20421</t>
  </si>
  <si>
    <t>A204214</t>
  </si>
  <si>
    <t>Servicios de Bienestar Social</t>
  </si>
  <si>
    <t>A204215</t>
  </si>
  <si>
    <t>Servicios de Capacitación</t>
  </si>
  <si>
    <t>A 3</t>
  </si>
  <si>
    <t>TRANSFERENCIA CORRIENTES</t>
  </si>
  <si>
    <t>A 32</t>
  </si>
  <si>
    <t>Transferencias al Sector Público</t>
  </si>
  <si>
    <t>A 321</t>
  </si>
  <si>
    <t>Onrden Nacional</t>
  </si>
  <si>
    <t>A3211</t>
  </si>
  <si>
    <t>Cuota de Auditaje Contranal</t>
  </si>
  <si>
    <t>A 35</t>
  </si>
  <si>
    <t>Transferencias de Prevision y Seguridad Social</t>
  </si>
  <si>
    <t>A 353</t>
  </si>
  <si>
    <t>Otras Transferencias de Prevision y Seguridad Social</t>
  </si>
  <si>
    <t>A3539</t>
  </si>
  <si>
    <t>Bienestar Universitario (LEY 30 DE 1992)</t>
  </si>
  <si>
    <t>A  36</t>
  </si>
  <si>
    <t>Otras Transferencias</t>
  </si>
  <si>
    <t>A  361</t>
  </si>
  <si>
    <t>Sentencias  y Conciliaciones</t>
  </si>
  <si>
    <t>A3611</t>
  </si>
  <si>
    <t>Sentencias y Conciliaciones</t>
  </si>
  <si>
    <t>C</t>
  </si>
  <si>
    <t>INVERSIÓN</t>
  </si>
  <si>
    <t>C 113</t>
  </si>
  <si>
    <t>MEJORAMIENTO Y MANTENIMIENTO DE LA INFRAESTRUCTURA PROPIA DEL SECTOR</t>
  </si>
  <si>
    <t>C 113 705</t>
  </si>
  <si>
    <t>Educación Superior</t>
  </si>
  <si>
    <t>C 1137051</t>
  </si>
  <si>
    <t>Mejoramiento y Dotación de la Infraestructura Física del Infotep de San Andrés</t>
  </si>
  <si>
    <t>C 123</t>
  </si>
  <si>
    <t>MEJORAMIENTO Y MANTENIMIENTO DE LA INFRAESTRUCTURA ADMINSTRATIVA</t>
  </si>
  <si>
    <t>C 123 705</t>
  </si>
  <si>
    <t>C 1237051</t>
  </si>
  <si>
    <t>Adecucación de la Sede del Infotep para Implementar la Educación Superior en la Isla de Providencia y Santa Catalina</t>
  </si>
  <si>
    <t>C 223</t>
  </si>
  <si>
    <t>ADQUISICIÓN, PRODUCCIÓN Y MANTENIMIENTO DE LA DOTACIÓN ADMINISTRATIVA</t>
  </si>
  <si>
    <t>C 223705</t>
  </si>
  <si>
    <t>C 2237051</t>
  </si>
  <si>
    <t>Renovación y Modernización de la red de datos, la Infraestructura y la Plataforma Tecnológica del Infotep de San Andrés y Providencia Islas</t>
  </si>
  <si>
    <t>C 310</t>
  </si>
  <si>
    <t>DIVULGACIÓN, ASISTENCIA TÉCNICA Y CAPACITACIÓN DEL RECURSO HUMANO</t>
  </si>
  <si>
    <t>C 310 705</t>
  </si>
  <si>
    <t>C 3107051</t>
  </si>
  <si>
    <t>Apoyo al Fortalecimiento de la Articulación Educación Media y Educación Superior en el Departamento Archipiélago de San Andrés Providencia y Santa Catalina Islas</t>
  </si>
  <si>
    <t>C 3107053</t>
  </si>
  <si>
    <t>Implantación del Departamento de Lenguas del INFOTEP San Andrés, San Andrés, Caribe</t>
  </si>
  <si>
    <t>C 520</t>
  </si>
  <si>
    <t>ADMINISTRACIÓN, ATENCIÓN, CONTROL Y ORGANIZACIÓN INSTITUCIONAL PARA LA ADMINISTRACIÓN DEL ESTADO</t>
  </si>
  <si>
    <t>C 520705</t>
  </si>
  <si>
    <t>C 5207052</t>
  </si>
  <si>
    <t>Implementación, Certificación y Sostenibilidad del Sistema Integrado de Gestión del INFOTEP de San Andrés Islas.</t>
  </si>
  <si>
    <t>C 540</t>
  </si>
  <si>
    <t>FORMACIÓN DE CAPITAL HUMANO PARA LA INVESTIGACIÓN Y DESARROLLO</t>
  </si>
  <si>
    <t>C 540705</t>
  </si>
  <si>
    <t>C 5407051</t>
  </si>
  <si>
    <t>Fortalecimiento de la Internacionalización de la Educación Superior en el Infotep de San Andrés, Providencia y Santa Catalina.</t>
  </si>
  <si>
    <t>C 640</t>
  </si>
  <si>
    <t>INVERSION Y APORTES FINANCIEROS</t>
  </si>
  <si>
    <t>C 640705</t>
  </si>
  <si>
    <t>C 6407051</t>
  </si>
  <si>
    <t>Fortalecimiento al Departamento de Bienestar Universitario del Infotep del Archipielago de San Andrés y Providencia.</t>
  </si>
  <si>
    <t>C 670</t>
  </si>
  <si>
    <t>APOYO</t>
  </si>
  <si>
    <t>C 6701506</t>
  </si>
  <si>
    <t>C 67015061</t>
  </si>
  <si>
    <t>Incremento de Inclusión de Población  en Situacaión de Discapacidad en Educación Superior en San Andrés Isla.</t>
  </si>
  <si>
    <t>TOTAL ACUMULADO</t>
  </si>
  <si>
    <t>STELLA M. MOYA MURILLO.</t>
  </si>
  <si>
    <t>ISMARINO J. MARTINEZ AGAMEZ</t>
  </si>
  <si>
    <t>Rectora.</t>
  </si>
  <si>
    <t>Profesional Universitario - Presupuesto</t>
  </si>
  <si>
    <t>DESAGREGACIONES</t>
  </si>
  <si>
    <t>APROPIACIONES PRESUPUESTALES VIGENCIA 2015 (SUELDOS DE PERSONAL, PRIMA TÉCNICA Y OTROS)</t>
  </si>
  <si>
    <t>APROPIACIONES PRESUPUESTALES VIGENCIA 2015 (HORAS EXTRAS, DIAS FESTIVOS, INDEMNIZACIÓN DE VACACIONES Y SERVICIOS PERSONALES INDIRECTOS "NACIÓN")</t>
  </si>
  <si>
    <t>ADOPCION DESAGREGACIÓN APROPIACIONES PRESUPUESTALES VIGENCIA 2015 (SERVICIOS PERSONALES INDIRECTOS "PROPIOS")</t>
  </si>
  <si>
    <t>ADOPCION DESAGREGACIÓN APROPIACIONES PRESUPUESTALES VIGENCIA 2015 (CONTRIBUCIONES INHERENTES A LA NÓMINA "NACIÓN")</t>
  </si>
  <si>
    <t>ADOPCION DESAGREGACIÓN APROPIACIONES PRESUPUESTALES VIGENCIA 2015 (ADQUISICIÓN DE BIENES Y SERVICIOS "NACIÓN")</t>
  </si>
  <si>
    <t>ADICIÓN ADOPCION DESAGREGACIÓN APROPIACIONES PRESUPUESTALES VIGENCIA 2015 (ADQUISICIÓN DE BIENES Y SERVICIOS "NACIÓN")</t>
  </si>
  <si>
    <t>ADOPCION DESAGREGACIÓN APROPIACIONES PRESUPUESTALES VIGENCIA 2015 (ADQUISICIÓN DE BIENES Y SERVICIOS "PROPIOS")</t>
  </si>
  <si>
    <t>Código UNSPSC 78111502 Producto : Viajes en aviones comerciales</t>
  </si>
  <si>
    <t xml:space="preserve">PRESTACIÓN DE SERVICIOS PROFESIONALES DE CARÁCTER TEMPORAL DE UN PROFESIONAL PARA OFRECER ASISTENCIA TÉCNICA Y OPERATIVA, QUE APOYE LA GESTIÓN ADMINISTRATIVA EN LOS PROCESOS DE CONTRATACIÓN DE SERVICIOS PERSONALES, BIENES, OBRAS  Y SERVICIOS DEL INFOTEP. </t>
  </si>
  <si>
    <t>7 MESES</t>
  </si>
  <si>
    <t xml:space="preserve">PRESTACIÒN DE SERVICIOS PROFESIONALES PARA EL DESARROLLO DE LAS GESTIONES Y REVISIONES JURIDCAS, RELACIONADAS CON LAS ETAPAS PRECONTRACTUAL, CONTRACTUAL Y POSCONTRACTUAL, EN MATERIA DE CONTRATOS Y CONVENIOS DEL INFOTEP. </t>
  </si>
  <si>
    <t>PRESTACIÓN DE SERVICIOS PROFESIONALES DE CARÁCTER TEMPORAL DE UN PROFESIONAL PARA OFRECER ASISTENCIA TÉCNICA Y OPERATIVA, QUE APOYE LA GESTIÓN ADMINISTRATIVA EN LOS PROCESOS DE CONTRATACIÓN DE SERVICIOS PERSONALES, BIENES, OBRAS  Y SERVICIOS DEL INFOTEP. Contrato No. 002 de 2016</t>
  </si>
  <si>
    <t>PRESTACIÒN DE SERVICIOS PROFESIONALES PARA EL DESARROLLO DE LAS GESTIONES Y REVISIONES JURIDCAS, RELACIONADAS CON LAS ETAPAS PRECONTRACTUAL, CONTRACTUAL Y POSCONTRACTUAL, EN MATERIA DE CONTRATOS Y CONVENIOS DEL INFOTEP.  Contrato No. 003 de 2016</t>
  </si>
  <si>
    <t xml:space="preserve">CONTRATO DE PRESTACIÓN DE SERVICIOS 
PROFESIONALES PARA APOYO AL AREA ADMINISTRATIVA Y FINANCIERA EN LA ELABORACIÒN DE INFORMES Y REQUERIMIENTOS  POR PARTE DE LA DIRECCIÒN Y LOS ENTES DE CONTROL, ADEMÀS APOYAR TODO EL PROCESO OPERATIVO EN ARAS DE ALCANZAR LOS OBJETIVOS INSTITUCIONALES
</t>
  </si>
  <si>
    <t xml:space="preserve">CONTRATO DE PRESTACIÓN DE SERVICIOS 
PROFESIONALES PARA APOYO AL AREA ADMINISTRATIVA Y FINANCIERA EN LA ELABORACIÒN DE INFORMES Y REQUERIMIENTOS  POR PARTE DE LA DIRECCIÒN Y LOS ENTES DE CONTROL, ADEMÀS APOYAR TODO EL PROCESO OPERATIVO EN ARAS DE ALCANZAR LOS OBJETIVOS INSTITUCIONALES. Contrato No. 004
</t>
  </si>
  <si>
    <t>PRESTACION DE SERVICIOS PROFESIONALES PARA APOYO A SECRETARIA GENERAL Y RECTORIA EN PROCESOS ADMINISTRATIVOS, PROCESOS ELECTORALES Y ACOMPAÑAMIENTO PARA EL DESARROLLO DE LOS CONSEJOS DIRECTIVO Y ACADEMICO</t>
  </si>
  <si>
    <t>PRESTACION DE SERVICIOS PROFESIONALES PARA APOYO A SECRETARIA GENERAL Y RECTORIA EN PROCESOS ADMINISTRATIVOS, PROCESOS ELECTORALES Y ACOMPAÑAMIENTO PARA EL DESARROLLO DE LOS CONSEJOS DIRECTIVO Y ACADEMICO. Contrato No. 005 de 2016</t>
  </si>
  <si>
    <r>
      <t xml:space="preserve">Prestación servicios en el apoyo al mantenimiento preventivo y correctivo para los equipos tecnológicos del  INFOTEP  </t>
    </r>
    <r>
      <rPr>
        <b/>
        <sz val="11"/>
        <color indexed="8"/>
        <rFont val="Arial"/>
        <family val="2"/>
      </rPr>
      <t>-Contratar personal para la implementación y sostenibilidad del proyecto</t>
    </r>
    <r>
      <rPr>
        <sz val="11"/>
        <color indexed="8"/>
        <rFont val="Arial"/>
        <family val="2"/>
      </rPr>
      <t>. Contrato No. 008 de 2016</t>
    </r>
  </si>
  <si>
    <r>
      <t xml:space="preserve">Prestacion de Servicio de Internet Empresarial. </t>
    </r>
    <r>
      <rPr>
        <b/>
        <sz val="11"/>
        <rFont val="Arial"/>
        <family val="2"/>
      </rPr>
      <t>Servicio anual de Internet Dedicado</t>
    </r>
    <r>
      <rPr>
        <sz val="11"/>
        <rFont val="Arial"/>
        <family val="2"/>
      </rPr>
      <t xml:space="preserve">. </t>
    </r>
  </si>
  <si>
    <t>NOVIEMBRE</t>
  </si>
  <si>
    <t>Prestaciòn de servicios de apoyo a la gestiòn del Centro de Recursos Tecnològicos en la biblioteca, para la organizaciòn, atenciòn y servicio de fotocopiado. Contrato No. 009 de Enero de 2016</t>
  </si>
  <si>
    <t xml:space="preserve"> MANTENIMIENTO PREVENTIVO Y CORRECTIVO PARA LAS FOTOCOPIADORAS MAQUINARIA Y EQUIPO DE OFICINA OFICINA</t>
  </si>
  <si>
    <t>Prestación de servicios técnicos de apoyo a la gestión para realizar la actividad de diseño de material gráfico, promocional y didáctico necesario para la divulgación y sensibilización de las acciones adelantadas por la entidad</t>
  </si>
  <si>
    <t>Prestación de servicios técnicos de apoyo a la gestión para realizar la actividad de diseño de material gráfico, promocional y didáctico necesario para la divulgación y sensibilización de las acciones adelantadas por la entidad. Contrato No. 010 de Enero de 2016</t>
  </si>
  <si>
    <t>Prestación servicios de apoyo a gestión documental y mensajería</t>
  </si>
  <si>
    <t>Prestación servicios de apoyo a gestión documental y mensajería. Contrato No. 011 de Febrero de 2016</t>
  </si>
  <si>
    <t>6 MESES</t>
  </si>
  <si>
    <t>Prestación de Servicios para el diseño y desarrollo de diplomado en pedagogía del turismo y tiempo libre. Contrato No. 012 de Febrero de 2016</t>
  </si>
  <si>
    <t>Contrato de prestación de servicios de Recurso Humano de apoyo para que desarrolle labores de aseo, mantenimiento, limpieza, cafetería en las instalaciones y las zonas comunes del Instituto Nacional de Formación Técnica Profesional San Andrés, Providencia INFOTEP. Contrato No. 013 de Febrero de 2016.</t>
  </si>
  <si>
    <t>Prestar el servicio de vigilancia y seguridad privada con armas para la protección de los bienes muebles e inmuebles y enseres de propiedad del INFOTEP San Andrés 24 Horas en forma contínua e ininterrumpida. Contrato No. 014 de febrero de 2016</t>
  </si>
  <si>
    <t>MÍNIMA CUANTÍA</t>
  </si>
  <si>
    <t>Mantenimiento preventivo y correctivo de la biblioteca</t>
  </si>
  <si>
    <t>Por definir</t>
  </si>
  <si>
    <t>45 DIAS</t>
  </si>
  <si>
    <t>Prestación de servicios profesionales de un abogado  para, la  Revision Analisis  y Consolidacion de Base de Datos y Expedientes con sus  respectivos soportes de la Cartera Morosa del INFOTEP,  Y  la Gestion de Cobro de la  Cartera Morosa,  definiendo  un porcentaje  del 15%  sobre el  valor efectivamente Recuperado, Saneado  o Depurado  de la Cartera Morosa, como resultado de su Gestion.</t>
  </si>
  <si>
    <t>855 de propios</t>
  </si>
  <si>
    <t>Contrato de prestación de servicios para desarrollar el convenio de cooperación interinstitucional. Contrato No. 019 de Febrero de 2016</t>
  </si>
  <si>
    <t xml:space="preserve">02 MESES </t>
  </si>
  <si>
    <t>Contrato de prestación de servicios para desarrollar el convenio de cooperación interinstitucional No. 015 de 2015 Suscrito entre INFOTEP y CORALINA. Contrato No. 019 de Febrero de 2016</t>
  </si>
  <si>
    <t>Prestación de servicios profesionales de asesoría jurídica para asuntos de carácter administrativos, procesos disciplinarios, laborales, contratación estatal y judiciales del INFOTEP, actualización del manual de contratación</t>
  </si>
  <si>
    <t>Prestación de servicios profesionales de asesoría jurídica para asuntos de carácter administrativos, procesos disciplinarios, laborales, contratación estatal y judiciales del INFOTEP, actualización del manual de contratación. Contrato No. 020 de Febrero de 2016</t>
  </si>
  <si>
    <t>81112303 - 81111707</t>
  </si>
  <si>
    <r>
      <t xml:space="preserve">Prestación de servicios para la implementación y sostenibilidad del proyecto de tecnología, red de datos de INFOTEP y como apoyo a gestión para asistir, brindar y dar soporte técnico en el área de sistemas del INFOTEP </t>
    </r>
    <r>
      <rPr>
        <b/>
        <sz val="11"/>
        <color theme="1"/>
        <rFont val="Arial"/>
        <family val="2"/>
      </rPr>
      <t>- Contratar personal para la implementación y sostenibilidad del proyecto</t>
    </r>
    <r>
      <rPr>
        <sz val="11"/>
        <color theme="1"/>
        <rFont val="Arial"/>
        <family val="2"/>
      </rPr>
      <t>. Contrato No. 021 de Febrero de 2011</t>
    </r>
  </si>
  <si>
    <t>Contratar servicios profesionales de apoyo para Promover estrategias de comunicación</t>
  </si>
  <si>
    <r>
      <t>Prestación de servicios de apoyo a la oficina de bienestar social y universitario y salud ocupacional</t>
    </r>
    <r>
      <rPr>
        <b/>
        <sz val="11"/>
        <rFont val="Arial"/>
        <family val="2"/>
      </rPr>
      <t xml:space="preserve"> - Jornadas de salud.</t>
    </r>
    <r>
      <rPr>
        <sz val="11"/>
        <rFont val="Arial"/>
        <family val="2"/>
      </rPr>
      <t xml:space="preserve"> Contrato No. 022 de Febrero de 2016</t>
    </r>
  </si>
  <si>
    <r>
      <t xml:space="preserve">Prestaciòn de servicios de apoyo a la gestiòn social y universitaria para fortalecer el programa de deporte y actividad fìsica, en calidad de monitor - </t>
    </r>
    <r>
      <rPr>
        <b/>
        <sz val="11"/>
        <rFont val="Arial"/>
        <family val="2"/>
      </rPr>
      <t>Replantear los programas culturales, lúdicos y deportivos</t>
    </r>
    <r>
      <rPr>
        <sz val="11"/>
        <rFont val="Arial"/>
        <family val="2"/>
      </rPr>
      <t>. Contrato No. 018 de Febrero</t>
    </r>
  </si>
  <si>
    <t>86141501 - 86101701</t>
  </si>
  <si>
    <r>
      <t xml:space="preserve">Prestación de servicios profesionales para la coordinaciòn regional del programa nacional de articulaciòn de la educaciòn superior con la educaciòn media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.Contrato No. 015 de Febrero de 2016.</t>
    </r>
  </si>
  <si>
    <t>Contratacion de Servicios de Transporte Aereo  y Viaticos    para  trasladar docentes a Providencia para desarrollo de los módulos de formación</t>
  </si>
  <si>
    <t>Contratar docentes cátedra y desarrollar módulos de formación - 1er semestre</t>
  </si>
  <si>
    <t>Contratar docentes cátedra y desarrollar módulos de formación - 2do semestre</t>
  </si>
  <si>
    <t>Realizar Actividades y talleres de seguimiento y control del proyecto con el IEM</t>
  </si>
  <si>
    <r>
      <t>Prestación de servicio de apoyo a la gestión para el manejo, cargue actualización y mejoras de la página web de la institución -</t>
    </r>
    <r>
      <rPr>
        <b/>
        <sz val="11"/>
        <rFont val="Arial"/>
        <family val="2"/>
      </rPr>
      <t xml:space="preserve"> Hosting, manejo y mejoras de la página web de la institució</t>
    </r>
    <r>
      <rPr>
        <sz val="11"/>
        <rFont val="Arial"/>
        <family val="2"/>
      </rPr>
      <t>n. Contrato No. 024 de Febrero de 2016</t>
    </r>
  </si>
  <si>
    <t xml:space="preserve">Estancia corta en institución educativa internacional. </t>
  </si>
  <si>
    <t>Contratar servicios para la adquisición y adecuación de laboratorios de idiomas (infraestructura, tecnología y bibliografía)</t>
  </si>
  <si>
    <t>Contratar servicios para ofrecer desarrollo profesoral a los docentes de lenguas</t>
  </si>
  <si>
    <r>
      <t xml:space="preserve">Prestación servicios profesionales para la asesoría para el fortalecimientos del Departamento de lenguas del INFOTEP y apoyo al proyecto de internacionalización. </t>
    </r>
    <r>
      <rPr>
        <b/>
        <sz val="11"/>
        <rFont val="Arial"/>
        <family val="2"/>
      </rPr>
      <t>Coordinar proyecto.</t>
    </r>
  </si>
  <si>
    <r>
      <t xml:space="preserve">Prestación servicios profesionales para la asesoría para el fortalecimientos del Departamento de lenguas del INFOTEP y apoyo al proyecto de internacionalización </t>
    </r>
    <r>
      <rPr>
        <b/>
        <sz val="11"/>
        <rFont val="Arial"/>
        <family val="2"/>
      </rPr>
      <t>- Coordinar proyecto</t>
    </r>
    <r>
      <rPr>
        <sz val="11"/>
        <rFont val="Arial"/>
        <family val="2"/>
      </rPr>
      <t>. Contrato No. 007 de enero de 2016</t>
    </r>
  </si>
  <si>
    <t>4 MESES</t>
  </si>
  <si>
    <r>
      <t xml:space="preserve">Prestación de servicios profesionales para dictar módulos de creole para el centro de lenguas del Instituto Nacional de Formación Técnica Profesional de San Andrés -  INFOTEP - </t>
    </r>
    <r>
      <rPr>
        <b/>
        <sz val="11"/>
        <rFont val="Arial"/>
        <family val="2"/>
      </rPr>
      <t>Contratar Docentes para la implementación de los Programas en lenguas</t>
    </r>
    <r>
      <rPr>
        <sz val="11"/>
        <rFont val="Arial"/>
        <family val="2"/>
      </rPr>
      <t>. Contrato No. 026 de febrero de 2016</t>
    </r>
  </si>
  <si>
    <t>Prestación de servicio de suministro de pasajes aéreos en rutas nacionales e internacionales para los funcionarios, contratistas y en general para el personal del INFOTEP, cuando en ejercicio de sus funciones o por necesidad del servicio o para cumplir actividades de bienestar, se requiere su desplazamiento al interior del país. SMC No. 001 de 2016 - Cto No. 025-2016</t>
  </si>
  <si>
    <t>Prestación servicios profesionales para la constitución de una garantía de las reservas de tiquetes nacionales e internacionales o allotment y logística para el desarrollo de las actividades que se generen en el INFOTEP. SMC 001 de 2016 - Cto No. 025-2016</t>
  </si>
  <si>
    <r>
      <t xml:space="preserve">Prestar servicios técnicos como apoyo a la coordinación en el marco del proyecto de articulación con la educación media del INFOTEP Providencia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 Contrato No. 028 de Febrero de 2016</t>
    </r>
  </si>
  <si>
    <r>
      <t xml:space="preserve">Prestar servicios técnicos como apoyo a la coordinación en marco del proyecto de articulación con la educación media del INFOTEP San Andrés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 Contrato No. 023 de Febrero de 2016.</t>
    </r>
  </si>
  <si>
    <t>Prestación de servicios para la asesoría externa para la coordinación y ejecución del proyecto</t>
  </si>
  <si>
    <t>Contrato de prestación de servicios profesionales como comunicador social enmarcado en los parámetros del proyecto inversión SIG. Contrato No. 029 de Febrero de 2016.</t>
  </si>
  <si>
    <t>BIENESTAR SOCIAL - REALIZACION DE EVENTOS CULTURALES</t>
  </si>
  <si>
    <t>Celebración del día del Idioma</t>
  </si>
  <si>
    <t>03 DÍAS</t>
  </si>
  <si>
    <t>03 DIAS</t>
  </si>
  <si>
    <t>08 MESES</t>
  </si>
  <si>
    <t>BIENESTAR SOCIAL - REALIZACION DE EVENTOS CULTURALES: Celebración del día del Idioma</t>
  </si>
  <si>
    <t>SHARPIE ( MARCADOR PUNTA DELGADA)</t>
  </si>
  <si>
    <t xml:space="preserve">09 MESES </t>
  </si>
  <si>
    <t>Prestación de servicios profesionales para  la Evaluacion  Ajuste  e Implementacion    del  plan de capacitación institucional 2016 para el INFOTEP</t>
  </si>
  <si>
    <t>31 DE MARZO DE 2016</t>
  </si>
  <si>
    <r>
      <t xml:space="preserve">Prestación de servicios profesionales para dictar cursos de inglés standard para el Instituto Nacional de Formación Técnica Profesional de San Andrés -  INFOTEP - </t>
    </r>
    <r>
      <rPr>
        <b/>
        <sz val="11"/>
        <rFont val="Arial"/>
        <family val="2"/>
      </rPr>
      <t>Contratar Docentes para la implementación de los Programas en lenguas</t>
    </r>
    <r>
      <rPr>
        <sz val="11"/>
        <rFont val="Arial"/>
        <family val="2"/>
      </rPr>
      <t>. Contrato No. 027 de febrero de 2016</t>
    </r>
  </si>
  <si>
    <r>
      <t>Prestación servicios técnicos de apoyo a la gestión como monitor de las salas de sistemas del INFOTEP-</t>
    </r>
    <r>
      <rPr>
        <b/>
        <sz val="11"/>
        <color indexed="8"/>
        <rFont val="Arial"/>
        <family val="2"/>
      </rPr>
      <t>Contratar personal para la implementación y sostenibilidad del proyecto</t>
    </r>
  </si>
  <si>
    <t>Contratar la Participación en actividades académicas en lenguas</t>
  </si>
  <si>
    <t>Servicio de mantenimiento preventivo y correctivo del sistema de aires acondicionados de sus sedes, incluyendo lo repuestos que sean necesarios para su adecuado funcionamiento ubicados en las instalaciones del INFOTEP. Comunicación de aceptación No. 030-2016</t>
  </si>
  <si>
    <r>
      <t xml:space="preserve">Servicio de mantenimiento preventivo y correctivo del sistema de aires acondicionados de sus sedes, incluyendo los repuestos que sean necesarios para su adecuado funcionamiento ubicados en las instalaciones del INFOTEP. - </t>
    </r>
    <r>
      <rPr>
        <b/>
        <sz val="11"/>
        <color theme="1"/>
        <rFont val="Arial"/>
        <family val="2"/>
      </rPr>
      <t>Mantenimiento preventivo y correctivo de laboratorios de sistemas</t>
    </r>
    <r>
      <rPr>
        <sz val="11"/>
        <color theme="1"/>
        <rFont val="Arial"/>
        <family val="2"/>
      </rPr>
      <t>. Comunicación de Aceptación No. 030-2016</t>
    </r>
  </si>
  <si>
    <t>Prestación de servicios de apoyo a la gestión para brindar capacitación en módulos del software de novasoft versión 7.0</t>
  </si>
  <si>
    <t>Arrendamiento del espacio fìsico para la ubicación de la sede del INFOTEP en la Isla de Providencia</t>
  </si>
  <si>
    <t>Prestación servicios profesionales para la constitución de una garantía de las reservas de tiquetes nacionales e internacionales o allotment y logística para el desarrollo de las actividades que se generen en el INFOTEP. SMC 001 de 2016 - Cto No. 025-2016 - Estancia corta en institución educativa internacional.</t>
  </si>
  <si>
    <t>Prestación de servicios profesionales como psicóloga para la orientaciòn individual y grupal a los estudiantes de las instituciones de educaciòn media articulados con el INFOTEP y para el apoyo en las intervenciones y actividades que se diseñen de manera institucional para el logro de los objetivos de las metas del proceso de bienestar universitario. Contrato No. 016 de Febrero de 2016</t>
  </si>
  <si>
    <t>Contratacion de Servicios de Apoyo a la gestion con el  fin de Implementar actividades académicas extracurriculares, salidas de campo y seminarios complementarios a la formación</t>
  </si>
  <si>
    <t>Misión</t>
  </si>
  <si>
    <t>Visión</t>
  </si>
  <si>
    <t>SERVICIOS PROFESIONALES PARA APOYO A LA ENTIDAD.-  MANEJO DE  SIIF, CAUSACION, MODULO DE  NOMINA   Y   Coordinador del programa de Administración de Empresas en convenio con la Fundación Universitaria Autónoma de las Amércias de Medellìn y el INFOTEP</t>
  </si>
  <si>
    <t>SERVICIOS TECNICOS CALIFICADOS PARA APOYAR A LA ENTIDAD -TENICO CONTABLE -  Apoyo adminstrativo en el àrea de contabilidad consistente en administrar sistema financiero integrado del INFOTEP y coordinar la interface de la informaciòn de los mòdulos de activos fijos, cartera y tesoreria. Contrato No. 006</t>
  </si>
  <si>
    <t>SERVICIOS TECNICOS CALIFICADOS PARA APOYAR A LA ENTIDAD -TECNICO CONTABLE -  Apoyo adminstrativo en el àrea de contabilidad consistente en administrar sistema financiero integrado del INFOTEP y coordinar la interface de la informaciòn de los mòdulos de activos fijos, cartera y tesoreria</t>
  </si>
  <si>
    <t>MICROONDAS</t>
  </si>
  <si>
    <t>Prestación de servicios profesionales de apoyo a la gestiòn contable y presupuestal Contrato No. 001 de 2016</t>
  </si>
  <si>
    <t>Prestación de servicios profesionales para apoyo a la gestión para realizar actividades de apoyo al proceso administrativo y contable, asi como para la verificación, análisis, revisión, evaluación y seguimiento al proceso de cierre del año 2015 e inicio del año 2016, y asuntos relacionados con estrategias para sostenibilidad contable. Contrato No. 017 de Febrero de 2016</t>
  </si>
  <si>
    <t>Prestación de servicios profesionales de apoyo a la gestión contable y presupuestal</t>
  </si>
  <si>
    <t>Prestación de servicios profesionales en el acompamiento y apoyo al direccionamiento del proceso de admisiones y registros, desde su base tecnològica en tèrminos de notas, registros y certificaciones a partir de SNIES, SPADIES y Q10.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</si>
</sst>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_-;\-* #,##0.00_-;_-* &quot;-&quot;??_-;_-@_-"/>
    <numFmt numFmtId="165" formatCode="#,##0;[Red]#,##0"/>
    <numFmt numFmtId="166" formatCode="_(* #,##0_);_(* \(#,##0\);_(* &quot;-&quot;??_);_(@_)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&quot;$&quot;\ #,##0.00"/>
    <numFmt numFmtId="170" formatCode="_([$$-240A]\ * #,##0.00_);_([$$-240A]\ * \(#,##0.00\);_([$$-240A]\ 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10"/>
      <name val="Tahoma"/>
      <family val="2"/>
    </font>
    <font>
      <b/>
      <sz val="12"/>
      <color indexed="14"/>
      <name val="Tahoma"/>
      <family val="2"/>
    </font>
    <font>
      <b/>
      <sz val="12"/>
      <color indexed="32"/>
      <name val="Tahoma"/>
      <family val="2"/>
    </font>
    <font>
      <b/>
      <sz val="12"/>
      <color indexed="39"/>
      <name val="Tahoma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Arial"/>
      <family val="2"/>
    </font>
    <font>
      <b/>
      <sz val="2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3D3D3D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00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7" fillId="0" borderId="0"/>
  </cellStyleXfs>
  <cellXfs count="318">
    <xf numFmtId="0" fontId="0" fillId="0" borderId="0" xfId="0"/>
    <xf numFmtId="0" fontId="0" fillId="0" borderId="1" xfId="0" applyBorder="1"/>
    <xf numFmtId="0" fontId="0" fillId="0" borderId="17" xfId="0" applyBorder="1"/>
    <xf numFmtId="0" fontId="0" fillId="0" borderId="24" xfId="0" applyBorder="1"/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6" fontId="0" fillId="0" borderId="24" xfId="294" applyNumberFormat="1" applyFont="1" applyBorder="1" applyAlignment="1">
      <alignment horizontal="center" vertical="center" wrapText="1"/>
    </xf>
    <xf numFmtId="166" fontId="14" fillId="0" borderId="1" xfId="294" applyNumberFormat="1" applyFont="1" applyBorder="1" applyAlignment="1">
      <alignment vertical="center"/>
    </xf>
    <xf numFmtId="166" fontId="14" fillId="0" borderId="1" xfId="294" applyNumberFormat="1" applyFont="1" applyBorder="1" applyAlignment="1">
      <alignment horizontal="center" vertical="center" wrapText="1"/>
    </xf>
    <xf numFmtId="166" fontId="16" fillId="0" borderId="1" xfId="294" applyNumberFormat="1" applyFont="1" applyBorder="1" applyAlignment="1">
      <alignment horizontal="center" vertical="center" wrapText="1"/>
    </xf>
    <xf numFmtId="166" fontId="14" fillId="0" borderId="20" xfId="294" applyNumberFormat="1" applyFont="1" applyBorder="1"/>
    <xf numFmtId="0" fontId="0" fillId="0" borderId="22" xfId="0" applyBorder="1"/>
    <xf numFmtId="166" fontId="14" fillId="0" borderId="22" xfId="294" applyNumberFormat="1" applyFont="1" applyBorder="1" applyAlignment="1">
      <alignment vertical="center"/>
    </xf>
    <xf numFmtId="166" fontId="14" fillId="0" borderId="26" xfId="294" applyNumberFormat="1" applyFont="1" applyBorder="1"/>
    <xf numFmtId="166" fontId="14" fillId="0" borderId="21" xfId="294" applyNumberFormat="1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/>
    <xf numFmtId="43" fontId="19" fillId="0" borderId="0" xfId="294" applyFont="1"/>
    <xf numFmtId="0" fontId="20" fillId="0" borderId="4" xfId="0" applyFont="1" applyBorder="1"/>
    <xf numFmtId="0" fontId="20" fillId="0" borderId="0" xfId="0" applyFont="1" applyBorder="1"/>
    <xf numFmtId="0" fontId="21" fillId="0" borderId="0" xfId="0" applyFont="1" applyBorder="1"/>
    <xf numFmtId="0" fontId="20" fillId="0" borderId="5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20" fillId="0" borderId="2" xfId="0" applyFont="1" applyBorder="1"/>
    <xf numFmtId="0" fontId="18" fillId="0" borderId="40" xfId="0" applyFont="1" applyBorder="1" applyAlignment="1">
      <alignment horizontal="center"/>
    </xf>
    <xf numFmtId="3" fontId="18" fillId="0" borderId="40" xfId="0" applyNumberFormat="1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7" fillId="0" borderId="16" xfId="0" applyFont="1" applyBorder="1"/>
    <xf numFmtId="0" fontId="17" fillId="0" borderId="17" xfId="0" applyFont="1" applyBorder="1"/>
    <xf numFmtId="3" fontId="24" fillId="0" borderId="17" xfId="0" applyNumberFormat="1" applyFont="1" applyBorder="1"/>
    <xf numFmtId="3" fontId="17" fillId="0" borderId="20" xfId="0" applyNumberFormat="1" applyFont="1" applyBorder="1"/>
    <xf numFmtId="3" fontId="18" fillId="0" borderId="20" xfId="0" applyNumberFormat="1" applyFont="1" applyBorder="1"/>
    <xf numFmtId="43" fontId="26" fillId="0" borderId="0" xfId="294" applyFont="1"/>
    <xf numFmtId="0" fontId="26" fillId="0" borderId="0" xfId="0" applyFont="1"/>
    <xf numFmtId="0" fontId="17" fillId="0" borderId="21" xfId="0" applyFont="1" applyBorder="1"/>
    <xf numFmtId="0" fontId="17" fillId="0" borderId="1" xfId="0" applyFont="1" applyBorder="1"/>
    <xf numFmtId="3" fontId="24" fillId="0" borderId="1" xfId="0" applyNumberFormat="1" applyFont="1" applyBorder="1"/>
    <xf numFmtId="3" fontId="17" fillId="0" borderId="22" xfId="0" applyNumberFormat="1" applyFont="1" applyBorder="1"/>
    <xf numFmtId="3" fontId="18" fillId="0" borderId="22" xfId="0" applyNumberFormat="1" applyFont="1" applyBorder="1"/>
    <xf numFmtId="0" fontId="17" fillId="3" borderId="21" xfId="0" applyFont="1" applyFill="1" applyBorder="1"/>
    <xf numFmtId="0" fontId="17" fillId="3" borderId="1" xfId="0" applyFont="1" applyFill="1" applyBorder="1" applyAlignment="1">
      <alignment wrapText="1"/>
    </xf>
    <xf numFmtId="3" fontId="17" fillId="3" borderId="1" xfId="0" applyNumberFormat="1" applyFont="1" applyFill="1" applyBorder="1"/>
    <xf numFmtId="3" fontId="24" fillId="3" borderId="1" xfId="0" applyNumberFormat="1" applyFont="1" applyFill="1" applyBorder="1"/>
    <xf numFmtId="3" fontId="17" fillId="3" borderId="22" xfId="0" applyNumberFormat="1" applyFont="1" applyFill="1" applyBorder="1"/>
    <xf numFmtId="3" fontId="18" fillId="3" borderId="0" xfId="0" applyNumberFormat="1" applyFont="1" applyFill="1" applyBorder="1"/>
    <xf numFmtId="0" fontId="26" fillId="0" borderId="21" xfId="0" applyFont="1" applyBorder="1"/>
    <xf numFmtId="0" fontId="26" fillId="0" borderId="1" xfId="0" applyFont="1" applyBorder="1" applyAlignment="1">
      <alignment wrapText="1"/>
    </xf>
    <xf numFmtId="3" fontId="26" fillId="0" borderId="1" xfId="0" applyNumberFormat="1" applyFont="1" applyBorder="1"/>
    <xf numFmtId="3" fontId="27" fillId="0" borderId="1" xfId="0" applyNumberFormat="1" applyFont="1" applyBorder="1"/>
    <xf numFmtId="3" fontId="26" fillId="0" borderId="22" xfId="0" applyNumberFormat="1" applyFont="1" applyBorder="1"/>
    <xf numFmtId="3" fontId="18" fillId="0" borderId="0" xfId="0" applyNumberFormat="1" applyFont="1" applyBorder="1"/>
    <xf numFmtId="0" fontId="27" fillId="0" borderId="1" xfId="0" applyFont="1" applyBorder="1" applyAlignment="1">
      <alignment wrapText="1"/>
    </xf>
    <xf numFmtId="168" fontId="28" fillId="3" borderId="47" xfId="294" applyNumberFormat="1" applyFont="1" applyFill="1" applyBorder="1" applyAlignment="1">
      <alignment horizontal="right" vertical="top" wrapText="1" readingOrder="1"/>
    </xf>
    <xf numFmtId="168" fontId="29" fillId="0" borderId="47" xfId="294" applyNumberFormat="1" applyFont="1" applyFill="1" applyBorder="1" applyAlignment="1">
      <alignment horizontal="right" vertical="top" wrapText="1" readingOrder="1"/>
    </xf>
    <xf numFmtId="3" fontId="24" fillId="3" borderId="14" xfId="0" applyNumberFormat="1" applyFont="1" applyFill="1" applyBorder="1"/>
    <xf numFmtId="3" fontId="27" fillId="0" borderId="14" xfId="0" applyNumberFormat="1" applyFont="1" applyBorder="1"/>
    <xf numFmtId="0" fontId="26" fillId="3" borderId="21" xfId="0" applyFont="1" applyFill="1" applyBorder="1"/>
    <xf numFmtId="0" fontId="26" fillId="3" borderId="1" xfId="0" applyFont="1" applyFill="1" applyBorder="1" applyAlignment="1">
      <alignment wrapText="1"/>
    </xf>
    <xf numFmtId="3" fontId="26" fillId="3" borderId="1" xfId="0" applyNumberFormat="1" applyFont="1" applyFill="1" applyBorder="1"/>
    <xf numFmtId="3" fontId="27" fillId="3" borderId="14" xfId="0" applyNumberFormat="1" applyFont="1" applyFill="1" applyBorder="1"/>
    <xf numFmtId="3" fontId="26" fillId="3" borderId="22" xfId="0" applyNumberFormat="1" applyFont="1" applyFill="1" applyBorder="1"/>
    <xf numFmtId="3" fontId="17" fillId="0" borderId="1" xfId="0" applyNumberFormat="1" applyFont="1" applyBorder="1"/>
    <xf numFmtId="3" fontId="24" fillId="0" borderId="14" xfId="0" applyNumberFormat="1" applyFont="1" applyBorder="1"/>
    <xf numFmtId="3" fontId="26" fillId="0" borderId="0" xfId="0" applyNumberFormat="1" applyFont="1"/>
    <xf numFmtId="0" fontId="27" fillId="0" borderId="1" xfId="0" applyFont="1" applyBorder="1"/>
    <xf numFmtId="3" fontId="27" fillId="4" borderId="1" xfId="0" applyNumberFormat="1" applyFont="1" applyFill="1" applyBorder="1"/>
    <xf numFmtId="3" fontId="27" fillId="4" borderId="14" xfId="0" applyNumberFormat="1" applyFont="1" applyFill="1" applyBorder="1"/>
    <xf numFmtId="3" fontId="18" fillId="4" borderId="15" xfId="0" applyNumberFormat="1" applyFont="1" applyFill="1" applyBorder="1" applyAlignment="1">
      <alignment horizontal="center"/>
    </xf>
    <xf numFmtId="9" fontId="26" fillId="0" borderId="0" xfId="294" applyNumberFormat="1" applyFont="1"/>
    <xf numFmtId="0" fontId="26" fillId="0" borderId="1" xfId="0" applyFont="1" applyBorder="1"/>
    <xf numFmtId="43" fontId="26" fillId="0" borderId="0" xfId="0" applyNumberFormat="1" applyFont="1"/>
    <xf numFmtId="0" fontId="20" fillId="0" borderId="21" xfId="0" applyFont="1" applyBorder="1"/>
    <xf numFmtId="0" fontId="20" fillId="0" borderId="1" xfId="0" applyFont="1" applyBorder="1"/>
    <xf numFmtId="3" fontId="21" fillId="0" borderId="1" xfId="0" applyNumberFormat="1" applyFont="1" applyBorder="1"/>
    <xf numFmtId="3" fontId="20" fillId="0" borderId="22" xfId="0" applyNumberFormat="1" applyFont="1" applyBorder="1"/>
    <xf numFmtId="3" fontId="30" fillId="0" borderId="0" xfId="0" applyNumberFormat="1" applyFont="1"/>
    <xf numFmtId="43" fontId="30" fillId="0" borderId="0" xfId="294" applyFont="1"/>
    <xf numFmtId="0" fontId="30" fillId="0" borderId="0" xfId="0" applyFont="1"/>
    <xf numFmtId="0" fontId="17" fillId="0" borderId="21" xfId="0" applyFont="1" applyFill="1" applyBorder="1"/>
    <xf numFmtId="0" fontId="17" fillId="0" borderId="1" xfId="0" applyFont="1" applyFill="1" applyBorder="1" applyAlignment="1">
      <alignment wrapText="1"/>
    </xf>
    <xf numFmtId="3" fontId="24" fillId="0" borderId="1" xfId="0" applyNumberFormat="1" applyFont="1" applyFill="1" applyBorder="1"/>
    <xf numFmtId="3" fontId="17" fillId="0" borderId="22" xfId="0" applyNumberFormat="1" applyFont="1" applyFill="1" applyBorder="1"/>
    <xf numFmtId="3" fontId="18" fillId="0" borderId="0" xfId="0" applyNumberFormat="1" applyFont="1" applyFill="1" applyBorder="1"/>
    <xf numFmtId="0" fontId="26" fillId="0" borderId="0" xfId="0" applyFont="1" applyFill="1"/>
    <xf numFmtId="43" fontId="26" fillId="0" borderId="0" xfId="294" applyFont="1" applyFill="1"/>
    <xf numFmtId="0" fontId="17" fillId="0" borderId="1" xfId="0" applyFont="1" applyBorder="1" applyAlignment="1">
      <alignment wrapText="1"/>
    </xf>
    <xf numFmtId="0" fontId="17" fillId="0" borderId="0" xfId="0" applyFont="1"/>
    <xf numFmtId="3" fontId="17" fillId="0" borderId="0" xfId="0" applyNumberFormat="1" applyFont="1"/>
    <xf numFmtId="43" fontId="17" fillId="0" borderId="0" xfId="294" applyFont="1"/>
    <xf numFmtId="0" fontId="26" fillId="7" borderId="21" xfId="0" applyFont="1" applyFill="1" applyBorder="1"/>
    <xf numFmtId="0" fontId="26" fillId="7" borderId="1" xfId="0" applyFont="1" applyFill="1" applyBorder="1" applyAlignment="1">
      <alignment wrapText="1"/>
    </xf>
    <xf numFmtId="3" fontId="26" fillId="7" borderId="1" xfId="0" applyNumberFormat="1" applyFont="1" applyFill="1" applyBorder="1"/>
    <xf numFmtId="3" fontId="27" fillId="7" borderId="14" xfId="0" applyNumberFormat="1" applyFont="1" applyFill="1" applyBorder="1"/>
    <xf numFmtId="0" fontId="27" fillId="0" borderId="21" xfId="0" applyFont="1" applyBorder="1"/>
    <xf numFmtId="0" fontId="24" fillId="0" borderId="21" xfId="0" applyFont="1" applyFill="1" applyBorder="1" applyAlignment="1">
      <alignment vertical="center"/>
    </xf>
    <xf numFmtId="0" fontId="24" fillId="0" borderId="1" xfId="0" applyFont="1" applyFill="1" applyBorder="1" applyAlignment="1">
      <alignment wrapText="1"/>
    </xf>
    <xf numFmtId="0" fontId="26" fillId="5" borderId="21" xfId="0" applyFont="1" applyFill="1" applyBorder="1"/>
    <xf numFmtId="0" fontId="26" fillId="5" borderId="1" xfId="0" applyFont="1" applyFill="1" applyBorder="1" applyAlignment="1">
      <alignment wrapText="1"/>
    </xf>
    <xf numFmtId="3" fontId="26" fillId="5" borderId="1" xfId="0" applyNumberFormat="1" applyFont="1" applyFill="1" applyBorder="1"/>
    <xf numFmtId="3" fontId="26" fillId="5" borderId="22" xfId="0" applyNumberFormat="1" applyFont="1" applyFill="1" applyBorder="1"/>
    <xf numFmtId="0" fontId="26" fillId="0" borderId="48" xfId="0" applyFont="1" applyBorder="1"/>
    <xf numFmtId="0" fontId="26" fillId="0" borderId="8" xfId="0" applyFont="1" applyBorder="1" applyAlignment="1">
      <alignment wrapText="1"/>
    </xf>
    <xf numFmtId="3" fontId="26" fillId="0" borderId="8" xfId="0" applyNumberFormat="1" applyFont="1" applyBorder="1"/>
    <xf numFmtId="3" fontId="27" fillId="0" borderId="32" xfId="0" applyNumberFormat="1" applyFont="1" applyBorder="1"/>
    <xf numFmtId="3" fontId="26" fillId="0" borderId="46" xfId="0" applyNumberFormat="1" applyFont="1" applyBorder="1"/>
    <xf numFmtId="0" fontId="26" fillId="0" borderId="13" xfId="0" applyFont="1" applyBorder="1"/>
    <xf numFmtId="0" fontId="26" fillId="0" borderId="9" xfId="0" applyFont="1" applyBorder="1" applyAlignment="1">
      <alignment wrapText="1"/>
    </xf>
    <xf numFmtId="3" fontId="26" fillId="0" borderId="9" xfId="0" applyNumberFormat="1" applyFont="1" applyBorder="1"/>
    <xf numFmtId="3" fontId="27" fillId="0" borderId="35" xfId="0" applyNumberFormat="1" applyFont="1" applyBorder="1"/>
    <xf numFmtId="3" fontId="26" fillId="0" borderId="11" xfId="0" applyNumberFormat="1" applyFont="1" applyBorder="1"/>
    <xf numFmtId="0" fontId="17" fillId="0" borderId="42" xfId="0" applyFont="1" applyFill="1" applyBorder="1"/>
    <xf numFmtId="0" fontId="17" fillId="0" borderId="43" xfId="0" applyFont="1" applyFill="1" applyBorder="1" applyAlignment="1">
      <alignment wrapText="1"/>
    </xf>
    <xf numFmtId="3" fontId="17" fillId="0" borderId="43" xfId="0" applyNumberFormat="1" applyFont="1" applyFill="1" applyBorder="1"/>
    <xf numFmtId="3" fontId="24" fillId="0" borderId="49" xfId="0" applyNumberFormat="1" applyFont="1" applyFill="1" applyBorder="1"/>
    <xf numFmtId="3" fontId="17" fillId="0" borderId="44" xfId="0" applyNumberFormat="1" applyFont="1" applyFill="1" applyBorder="1"/>
    <xf numFmtId="0" fontId="17" fillId="0" borderId="50" xfId="0" applyFont="1" applyFill="1" applyBorder="1"/>
    <xf numFmtId="0" fontId="17" fillId="0" borderId="10" xfId="0" applyFont="1" applyFill="1" applyBorder="1" applyAlignment="1">
      <alignment wrapText="1"/>
    </xf>
    <xf numFmtId="3" fontId="17" fillId="0" borderId="10" xfId="0" applyNumberFormat="1" applyFont="1" applyFill="1" applyBorder="1"/>
    <xf numFmtId="3" fontId="24" fillId="0" borderId="37" xfId="0" applyNumberFormat="1" applyFont="1" applyFill="1" applyBorder="1"/>
    <xf numFmtId="3" fontId="17" fillId="0" borderId="45" xfId="0" applyNumberFormat="1" applyFont="1" applyFill="1" applyBorder="1"/>
    <xf numFmtId="3" fontId="17" fillId="0" borderId="1" xfId="0" applyNumberFormat="1" applyFont="1" applyFill="1" applyBorder="1"/>
    <xf numFmtId="3" fontId="24" fillId="0" borderId="14" xfId="0" applyNumberFormat="1" applyFont="1" applyFill="1" applyBorder="1"/>
    <xf numFmtId="0" fontId="26" fillId="0" borderId="21" xfId="0" applyFont="1" applyFill="1" applyBorder="1"/>
    <xf numFmtId="0" fontId="26" fillId="0" borderId="1" xfId="0" applyFont="1" applyFill="1" applyBorder="1" applyAlignment="1">
      <alignment wrapText="1"/>
    </xf>
    <xf numFmtId="3" fontId="26" fillId="0" borderId="1" xfId="0" applyNumberFormat="1" applyFont="1" applyFill="1" applyBorder="1"/>
    <xf numFmtId="3" fontId="27" fillId="0" borderId="14" xfId="0" applyNumberFormat="1" applyFont="1" applyFill="1" applyBorder="1"/>
    <xf numFmtId="3" fontId="26" fillId="0" borderId="22" xfId="0" applyNumberFormat="1" applyFont="1" applyFill="1" applyBorder="1"/>
    <xf numFmtId="0" fontId="17" fillId="0" borderId="48" xfId="0" applyFont="1" applyFill="1" applyBorder="1"/>
    <xf numFmtId="0" fontId="26" fillId="0" borderId="48" xfId="0" applyFont="1" applyFill="1" applyBorder="1"/>
    <xf numFmtId="0" fontId="17" fillId="0" borderId="8" xfId="0" applyFont="1" applyFill="1" applyBorder="1" applyAlignment="1">
      <alignment wrapText="1"/>
    </xf>
    <xf numFmtId="3" fontId="17" fillId="0" borderId="8" xfId="0" applyNumberFormat="1" applyFont="1" applyFill="1" applyBorder="1"/>
    <xf numFmtId="3" fontId="24" fillId="0" borderId="32" xfId="0" applyNumberFormat="1" applyFont="1" applyFill="1" applyBorder="1"/>
    <xf numFmtId="3" fontId="17" fillId="0" borderId="46" xfId="0" applyNumberFormat="1" applyFont="1" applyFill="1" applyBorder="1"/>
    <xf numFmtId="0" fontId="26" fillId="0" borderId="8" xfId="0" applyFont="1" applyFill="1" applyBorder="1" applyAlignment="1">
      <alignment wrapText="1"/>
    </xf>
    <xf numFmtId="3" fontId="26" fillId="0" borderId="8" xfId="0" applyNumberFormat="1" applyFont="1" applyFill="1" applyBorder="1"/>
    <xf numFmtId="3" fontId="27" fillId="0" borderId="32" xfId="0" applyNumberFormat="1" applyFont="1" applyFill="1" applyBorder="1"/>
    <xf numFmtId="3" fontId="26" fillId="0" borderId="46" xfId="0" applyNumberFormat="1" applyFont="1" applyFill="1" applyBorder="1"/>
    <xf numFmtId="0" fontId="31" fillId="0" borderId="0" xfId="0" applyNumberFormat="1" applyFont="1" applyFill="1" applyBorder="1" applyAlignment="1">
      <alignment vertical="top" wrapText="1" readingOrder="1"/>
    </xf>
    <xf numFmtId="0" fontId="31" fillId="0" borderId="0" xfId="0" applyNumberFormat="1" applyFont="1" applyFill="1" applyBorder="1" applyAlignment="1">
      <alignment horizontal="right" vertical="top" wrapText="1" readingOrder="1"/>
    </xf>
    <xf numFmtId="0" fontId="19" fillId="0" borderId="23" xfId="0" applyFont="1" applyBorder="1"/>
    <xf numFmtId="0" fontId="20" fillId="0" borderId="24" xfId="0" applyFont="1" applyBorder="1" applyAlignment="1">
      <alignment horizontal="center"/>
    </xf>
    <xf numFmtId="3" fontId="20" fillId="0" borderId="24" xfId="0" applyNumberFormat="1" applyFont="1" applyBorder="1"/>
    <xf numFmtId="3" fontId="21" fillId="0" borderId="51" xfId="0" applyNumberFormat="1" applyFont="1" applyBorder="1"/>
    <xf numFmtId="3" fontId="20" fillId="0" borderId="26" xfId="0" applyNumberFormat="1" applyFont="1" applyBorder="1"/>
    <xf numFmtId="43" fontId="33" fillId="0" borderId="0" xfId="294" applyFont="1"/>
    <xf numFmtId="0" fontId="19" fillId="0" borderId="2" xfId="0" applyFont="1" applyBorder="1"/>
    <xf numFmtId="0" fontId="19" fillId="0" borderId="40" xfId="0" applyFont="1" applyBorder="1"/>
    <xf numFmtId="0" fontId="34" fillId="0" borderId="40" xfId="0" applyFont="1" applyBorder="1"/>
    <xf numFmtId="0" fontId="19" fillId="0" borderId="5" xfId="0" applyFont="1" applyBorder="1"/>
    <xf numFmtId="0" fontId="19" fillId="0" borderId="4" xfId="0" applyFont="1" applyBorder="1"/>
    <xf numFmtId="0" fontId="19" fillId="0" borderId="0" xfId="0" applyFont="1" applyBorder="1"/>
    <xf numFmtId="0" fontId="34" fillId="0" borderId="0" xfId="0" applyFont="1" applyBorder="1"/>
    <xf numFmtId="0" fontId="30" fillId="0" borderId="4" xfId="0" applyFont="1" applyBorder="1"/>
    <xf numFmtId="0" fontId="6" fillId="0" borderId="0" xfId="0" applyFont="1" applyBorder="1"/>
    <xf numFmtId="0" fontId="26" fillId="0" borderId="6" xfId="0" applyFont="1" applyBorder="1"/>
    <xf numFmtId="0" fontId="19" fillId="0" borderId="31" xfId="0" applyFont="1" applyBorder="1"/>
    <xf numFmtId="0" fontId="34" fillId="0" borderId="31" xfId="0" applyFont="1" applyBorder="1"/>
    <xf numFmtId="0" fontId="27" fillId="0" borderId="31" xfId="0" applyFont="1" applyBorder="1"/>
    <xf numFmtId="0" fontId="19" fillId="0" borderId="7" xfId="0" applyFont="1" applyBorder="1"/>
    <xf numFmtId="0" fontId="27" fillId="0" borderId="0" xfId="0" applyFont="1" applyBorder="1"/>
    <xf numFmtId="43" fontId="18" fillId="0" borderId="0" xfId="294" applyFont="1"/>
    <xf numFmtId="0" fontId="26" fillId="0" borderId="0" xfId="0" applyFont="1" applyBorder="1"/>
    <xf numFmtId="0" fontId="34" fillId="0" borderId="0" xfId="0" applyFont="1"/>
    <xf numFmtId="0" fontId="18" fillId="0" borderId="0" xfId="0" applyFont="1"/>
    <xf numFmtId="0" fontId="35" fillId="0" borderId="0" xfId="0" applyFont="1"/>
    <xf numFmtId="0" fontId="2" fillId="0" borderId="0" xfId="0" applyFont="1"/>
    <xf numFmtId="0" fontId="26" fillId="6" borderId="21" xfId="0" applyFont="1" applyFill="1" applyBorder="1"/>
    <xf numFmtId="0" fontId="26" fillId="6" borderId="1" xfId="0" applyFont="1" applyFill="1" applyBorder="1" applyAlignment="1">
      <alignment wrapText="1"/>
    </xf>
    <xf numFmtId="3" fontId="26" fillId="6" borderId="1" xfId="0" applyNumberFormat="1" applyFont="1" applyFill="1" applyBorder="1"/>
    <xf numFmtId="3" fontId="27" fillId="6" borderId="14" xfId="0" applyNumberFormat="1" applyFont="1" applyFill="1" applyBorder="1"/>
    <xf numFmtId="3" fontId="26" fillId="6" borderId="22" xfId="0" applyNumberFormat="1" applyFont="1" applyFill="1" applyBorder="1"/>
    <xf numFmtId="0" fontId="18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18" fillId="0" borderId="1" xfId="294" applyNumberFormat="1" applyFont="1" applyFill="1" applyBorder="1" applyAlignment="1">
      <alignment vertical="center" wrapText="1"/>
    </xf>
    <xf numFmtId="0" fontId="34" fillId="0" borderId="1" xfId="298" quotePrefix="1" applyFont="1" applyFill="1" applyBorder="1" applyAlignment="1" applyProtection="1">
      <alignment vertical="center" wrapText="1"/>
      <protection locked="0"/>
    </xf>
    <xf numFmtId="0" fontId="18" fillId="0" borderId="1" xfId="0" applyFont="1" applyFill="1" applyBorder="1" applyAlignment="1">
      <alignment horizontal="center" vertical="center" wrapText="1"/>
    </xf>
    <xf numFmtId="165" fontId="19" fillId="0" borderId="1" xfId="297" applyNumberFormat="1" applyFont="1" applyFill="1" applyBorder="1" applyAlignment="1">
      <alignment horizontal="center" vertical="center" wrapText="1"/>
    </xf>
    <xf numFmtId="4" fontId="18" fillId="0" borderId="1" xfId="294" applyNumberFormat="1" applyFont="1" applyFill="1" applyBorder="1" applyAlignment="1">
      <alignment horizontal="right" vertical="center" wrapText="1"/>
    </xf>
    <xf numFmtId="0" fontId="19" fillId="0" borderId="22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3" fontId="24" fillId="5" borderId="14" xfId="0" applyNumberFormat="1" applyFont="1" applyFill="1" applyBorder="1"/>
    <xf numFmtId="0" fontId="19" fillId="0" borderId="21" xfId="0" applyFont="1" applyFill="1" applyBorder="1" applyAlignment="1">
      <alignment horizontal="right" vertical="center" wrapText="1"/>
    </xf>
    <xf numFmtId="166" fontId="19" fillId="0" borderId="0" xfId="294" applyNumberFormat="1" applyFont="1" applyFill="1" applyBorder="1" applyAlignment="1">
      <alignment vertical="center" wrapText="1"/>
    </xf>
    <xf numFmtId="166" fontId="19" fillId="0" borderId="0" xfId="294" applyNumberFormat="1" applyFont="1" applyFill="1" applyAlignment="1">
      <alignment vertical="center" wrapText="1"/>
    </xf>
    <xf numFmtId="44" fontId="42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66" fontId="19" fillId="0" borderId="0" xfId="294" applyNumberFormat="1" applyFont="1" applyFill="1" applyBorder="1" applyAlignment="1">
      <alignment horizontal="center" vertical="center" wrapText="1"/>
    </xf>
    <xf numFmtId="167" fontId="18" fillId="0" borderId="22" xfId="0" applyNumberFormat="1" applyFont="1" applyFill="1" applyBorder="1" applyAlignment="1">
      <alignment horizontal="right" vertical="center" wrapText="1"/>
    </xf>
    <xf numFmtId="167" fontId="38" fillId="0" borderId="22" xfId="0" applyNumberFormat="1" applyFont="1" applyFill="1" applyBorder="1" applyAlignment="1">
      <alignment horizontal="right" vertical="center" wrapText="1"/>
    </xf>
    <xf numFmtId="167" fontId="18" fillId="0" borderId="22" xfId="0" applyNumberFormat="1" applyFont="1" applyFill="1" applyBorder="1" applyAlignment="1">
      <alignment vertical="center" wrapText="1"/>
    </xf>
    <xf numFmtId="14" fontId="18" fillId="0" borderId="26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justify" vertic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21" xfId="0" applyFont="1" applyFill="1" applyBorder="1" applyAlignment="1">
      <alignment horizontal="center" vertical="center" wrapText="1"/>
    </xf>
    <xf numFmtId="165" fontId="19" fillId="0" borderId="0" xfId="0" applyNumberFormat="1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vertical="center" wrapText="1"/>
    </xf>
    <xf numFmtId="0" fontId="19" fillId="0" borderId="22" xfId="0" quotePrefix="1" applyFont="1" applyFill="1" applyBorder="1" applyAlignment="1">
      <alignment vertical="center" wrapText="1"/>
    </xf>
    <xf numFmtId="0" fontId="37" fillId="0" borderId="22" xfId="296" quotePrefix="1" applyFont="1" applyFill="1" applyBorder="1" applyAlignment="1">
      <alignment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166" fontId="19" fillId="0" borderId="34" xfId="294" applyNumberFormat="1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66" fontId="19" fillId="0" borderId="36" xfId="294" applyNumberFormat="1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166" fontId="19" fillId="0" borderId="38" xfId="294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vertical="top" wrapText="1" readingOrder="1"/>
    </xf>
    <xf numFmtId="0" fontId="32" fillId="0" borderId="0" xfId="0" applyNumberFormat="1" applyFont="1" applyFill="1" applyBorder="1" applyAlignment="1">
      <alignment vertical="top" wrapText="1"/>
    </xf>
    <xf numFmtId="0" fontId="17" fillId="0" borderId="2" xfId="0" applyFont="1" applyFill="1" applyBorder="1" applyAlignment="1">
      <alignment horizontal="center"/>
    </xf>
    <xf numFmtId="0" fontId="17" fillId="0" borderId="40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36" fillId="0" borderId="29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44" fontId="18" fillId="0" borderId="0" xfId="1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25" fillId="0" borderId="19" xfId="295" applyFont="1" applyFill="1" applyBorder="1" applyAlignment="1">
      <alignment horizontal="center" vertical="center" wrapText="1"/>
    </xf>
    <xf numFmtId="0" fontId="25" fillId="0" borderId="39" xfId="295" applyFont="1" applyFill="1" applyBorder="1" applyAlignment="1">
      <alignment vertical="center" wrapText="1"/>
    </xf>
    <xf numFmtId="0" fontId="25" fillId="0" borderId="39" xfId="295" applyFont="1" applyFill="1" applyBorder="1" applyAlignment="1">
      <alignment horizontal="center" vertical="center" wrapText="1"/>
    </xf>
    <xf numFmtId="165" fontId="25" fillId="0" borderId="39" xfId="295" applyNumberFormat="1" applyFont="1" applyFill="1" applyBorder="1" applyAlignment="1">
      <alignment horizontal="center" vertical="center" wrapText="1"/>
    </xf>
    <xf numFmtId="0" fontId="25" fillId="0" borderId="18" xfId="295" applyFont="1" applyFill="1" applyBorder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4" fontId="18" fillId="0" borderId="1" xfId="294" applyNumberFormat="1" applyFont="1" applyFill="1" applyBorder="1" applyAlignment="1">
      <alignment horizontal="center" vertical="center" wrapText="1"/>
    </xf>
    <xf numFmtId="169" fontId="19" fillId="0" borderId="0" xfId="0" applyNumberFormat="1" applyFont="1" applyFill="1" applyBorder="1" applyAlignment="1">
      <alignment vertical="center" wrapText="1"/>
    </xf>
    <xf numFmtId="0" fontId="34" fillId="0" borderId="21" xfId="295" applyFont="1" applyFill="1" applyBorder="1" applyAlignment="1">
      <alignment horizontal="center" vertical="center" wrapText="1"/>
    </xf>
    <xf numFmtId="0" fontId="34" fillId="0" borderId="1" xfId="295" applyFont="1" applyFill="1" applyBorder="1" applyAlignment="1">
      <alignment horizontal="left" vertical="center" wrapText="1"/>
    </xf>
    <xf numFmtId="0" fontId="41" fillId="0" borderId="2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4" fontId="19" fillId="0" borderId="0" xfId="0" applyNumberFormat="1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166" fontId="18" fillId="0" borderId="1" xfId="294" applyNumberFormat="1" applyFont="1" applyFill="1" applyBorder="1" applyAlignment="1">
      <alignment vertical="center" wrapText="1"/>
    </xf>
    <xf numFmtId="0" fontId="25" fillId="0" borderId="1" xfId="298" quotePrefix="1" applyFont="1" applyFill="1" applyBorder="1" applyAlignment="1" applyProtection="1">
      <alignment vertical="center" wrapText="1"/>
      <protection locked="0"/>
    </xf>
    <xf numFmtId="0" fontId="34" fillId="0" borderId="1" xfId="299" applyFont="1" applyFill="1" applyBorder="1" applyAlignment="1" applyProtection="1">
      <alignment vertical="center" wrapText="1"/>
    </xf>
    <xf numFmtId="0" fontId="19" fillId="0" borderId="24" xfId="0" applyFont="1" applyFill="1" applyBorder="1" applyAlignment="1">
      <alignment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165" fontId="19" fillId="0" borderId="24" xfId="294" applyNumberFormat="1" applyFont="1" applyFill="1" applyBorder="1" applyAlignment="1">
      <alignment horizontal="center" vertical="center" wrapText="1"/>
    </xf>
    <xf numFmtId="166" fontId="18" fillId="0" borderId="24" xfId="294" applyNumberFormat="1" applyFont="1" applyFill="1" applyBorder="1" applyAlignment="1">
      <alignment horizontal="center" vertical="center" wrapText="1"/>
    </xf>
    <xf numFmtId="4" fontId="25" fillId="0" borderId="24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165" fontId="19" fillId="0" borderId="0" xfId="0" applyNumberFormat="1" applyFont="1" applyFill="1" applyAlignment="1">
      <alignment horizontal="center" vertical="center" wrapText="1"/>
    </xf>
    <xf numFmtId="43" fontId="18" fillId="0" borderId="0" xfId="294" applyFont="1" applyFill="1" applyAlignment="1">
      <alignment horizontal="center" vertical="center" wrapText="1"/>
    </xf>
    <xf numFmtId="168" fontId="19" fillId="0" borderId="0" xfId="0" applyNumberFormat="1" applyFont="1" applyFill="1" applyAlignment="1">
      <alignment vertical="center" wrapText="1"/>
    </xf>
    <xf numFmtId="0" fontId="18" fillId="0" borderId="29" xfId="0" applyFont="1" applyFill="1" applyBorder="1" applyAlignment="1">
      <alignment horizontal="left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center" vertical="center" wrapText="1"/>
    </xf>
    <xf numFmtId="166" fontId="18" fillId="0" borderId="2" xfId="294" applyNumberFormat="1" applyFont="1" applyFill="1" applyBorder="1" applyAlignment="1">
      <alignment horizontal="center" vertical="center" wrapText="1"/>
    </xf>
    <xf numFmtId="166" fontId="18" fillId="0" borderId="40" xfId="294" applyNumberFormat="1" applyFont="1" applyFill="1" applyBorder="1" applyAlignment="1">
      <alignment horizontal="center" vertical="center" wrapText="1"/>
    </xf>
    <xf numFmtId="166" fontId="18" fillId="0" borderId="3" xfId="294" applyNumberFormat="1" applyFont="1" applyFill="1" applyBorder="1" applyAlignment="1">
      <alignment horizontal="center" vertical="center" wrapText="1"/>
    </xf>
    <xf numFmtId="43" fontId="18" fillId="0" borderId="10" xfId="294" applyFont="1" applyFill="1" applyBorder="1" applyAlignment="1">
      <alignment horizontal="center" vertical="center" wrapText="1"/>
    </xf>
    <xf numFmtId="166" fontId="18" fillId="0" borderId="10" xfId="294" applyNumberFormat="1" applyFont="1" applyFill="1" applyBorder="1" applyAlignment="1">
      <alignment horizontal="center" vertical="center" wrapText="1"/>
    </xf>
    <xf numFmtId="166" fontId="18" fillId="0" borderId="1" xfId="294" applyNumberFormat="1" applyFont="1" applyFill="1" applyBorder="1" applyAlignment="1">
      <alignment horizontal="center" vertical="center" wrapText="1"/>
    </xf>
    <xf numFmtId="166" fontId="19" fillId="0" borderId="1" xfId="294" applyNumberFormat="1" applyFont="1" applyFill="1" applyBorder="1" applyAlignment="1">
      <alignment horizontal="center" vertical="center" wrapText="1"/>
    </xf>
    <xf numFmtId="166" fontId="18" fillId="0" borderId="0" xfId="294" applyNumberFormat="1" applyFont="1" applyFill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166" fontId="18" fillId="0" borderId="1" xfId="0" applyNumberFormat="1" applyFont="1" applyFill="1" applyBorder="1" applyAlignment="1">
      <alignment horizontal="center" vertical="center" wrapText="1"/>
    </xf>
    <xf numFmtId="166" fontId="18" fillId="0" borderId="8" xfId="294" applyNumberFormat="1" applyFont="1" applyFill="1" applyBorder="1" applyAlignment="1">
      <alignment horizontal="center" vertical="center" wrapText="1"/>
    </xf>
    <xf numFmtId="166" fontId="19" fillId="0" borderId="0" xfId="0" applyNumberFormat="1" applyFont="1" applyFill="1" applyAlignment="1">
      <alignment vertical="center" wrapText="1"/>
    </xf>
    <xf numFmtId="4" fontId="19" fillId="0" borderId="0" xfId="0" applyNumberFormat="1" applyFont="1" applyFill="1" applyAlignment="1">
      <alignment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6" fontId="18" fillId="0" borderId="14" xfId="294" applyNumberFormat="1" applyFont="1" applyFill="1" applyBorder="1" applyAlignment="1">
      <alignment horizontal="center" vertical="center" wrapText="1"/>
    </xf>
    <xf numFmtId="166" fontId="18" fillId="0" borderId="29" xfId="294" applyNumberFormat="1" applyFont="1" applyFill="1" applyBorder="1" applyAlignment="1">
      <alignment horizontal="center" vertical="center" wrapText="1"/>
    </xf>
    <xf numFmtId="166" fontId="18" fillId="0" borderId="30" xfId="294" applyNumberFormat="1" applyFont="1" applyFill="1" applyBorder="1" applyAlignment="1">
      <alignment horizontal="center" vertical="center" wrapText="1"/>
    </xf>
    <xf numFmtId="166" fontId="18" fillId="0" borderId="27" xfId="294" applyNumberFormat="1" applyFont="1" applyFill="1" applyBorder="1" applyAlignment="1">
      <alignment horizontal="center" vertical="center" wrapText="1"/>
    </xf>
    <xf numFmtId="167" fontId="19" fillId="0" borderId="0" xfId="0" applyNumberFormat="1" applyFont="1" applyFill="1" applyAlignment="1">
      <alignment vertical="center" wrapText="1"/>
    </xf>
    <xf numFmtId="166" fontId="18" fillId="0" borderId="0" xfId="294" applyNumberFormat="1" applyFont="1" applyFill="1" applyAlignment="1">
      <alignment vertical="center" wrapText="1"/>
    </xf>
    <xf numFmtId="4" fontId="19" fillId="0" borderId="0" xfId="0" applyNumberFormat="1" applyFont="1" applyFill="1" applyAlignment="1">
      <alignment horizontal="center" vertical="center" wrapText="1"/>
    </xf>
    <xf numFmtId="166" fontId="18" fillId="0" borderId="15" xfId="294" applyNumberFormat="1" applyFont="1" applyFill="1" applyBorder="1" applyAlignment="1">
      <alignment vertical="center" wrapText="1"/>
    </xf>
    <xf numFmtId="44" fontId="19" fillId="0" borderId="0" xfId="1" applyFont="1" applyFill="1" applyAlignment="1">
      <alignment horizontal="center" vertical="center" wrapText="1"/>
    </xf>
    <xf numFmtId="4" fontId="18" fillId="0" borderId="0" xfId="0" applyNumberFormat="1" applyFont="1" applyFill="1" applyAlignment="1">
      <alignment horizontal="center" vertical="center" wrapText="1"/>
    </xf>
    <xf numFmtId="44" fontId="19" fillId="0" borderId="0" xfId="0" applyNumberFormat="1" applyFont="1" applyFill="1" applyAlignment="1">
      <alignment horizontal="center" vertical="center" wrapText="1"/>
    </xf>
    <xf numFmtId="170" fontId="19" fillId="0" borderId="0" xfId="0" applyNumberFormat="1" applyFont="1" applyFill="1" applyAlignment="1">
      <alignment vertical="center" wrapText="1"/>
    </xf>
  </cellXfs>
  <cellStyles count="300">
    <cellStyle name="Énfasis1" xfId="295" builtinId="29"/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" xfId="190" builtinId="8" hidden="1"/>
    <cellStyle name="Hipervínculo" xfId="192" builtinId="8" hidden="1"/>
    <cellStyle name="Hipervínculo" xfId="194" builtinId="8" hidden="1"/>
    <cellStyle name="Hipervínculo" xfId="196" builtinId="8" hidden="1"/>
    <cellStyle name="Hipervínculo" xfId="198" builtinId="8" hidden="1"/>
    <cellStyle name="Hipervínculo" xfId="200" builtinId="8" hidden="1"/>
    <cellStyle name="Hipervínculo" xfId="202" builtinId="8" hidden="1"/>
    <cellStyle name="Hipervínculo" xfId="204" builtinId="8" hidden="1"/>
    <cellStyle name="Hipervínculo" xfId="206" builtinId="8" hidden="1"/>
    <cellStyle name="Hipervínculo" xfId="208" builtinId="8" hidden="1"/>
    <cellStyle name="Hipervínculo" xfId="210" builtinId="8" hidden="1"/>
    <cellStyle name="Hipervínculo" xfId="212" builtinId="8" hidden="1"/>
    <cellStyle name="Hipervínculo" xfId="214" builtinId="8" hidden="1"/>
    <cellStyle name="Hipervínculo" xfId="216" builtinId="8" hidden="1"/>
    <cellStyle name="Hipervínculo" xfId="218" builtinId="8" hidden="1"/>
    <cellStyle name="Hipervínculo" xfId="220" builtinId="8" hidden="1"/>
    <cellStyle name="Hipervínculo" xfId="222" builtinId="8" hidden="1"/>
    <cellStyle name="Hipervínculo" xfId="224" builtinId="8" hidden="1"/>
    <cellStyle name="Hipervínculo" xfId="226" builtinId="8" hidden="1"/>
    <cellStyle name="Hipervínculo" xfId="228" builtinId="8" hidden="1"/>
    <cellStyle name="Hipervínculo" xfId="230" builtinId="8" hidden="1"/>
    <cellStyle name="Hipervínculo" xfId="232" builtinId="8" hidden="1"/>
    <cellStyle name="Hipervínculo" xfId="234" builtinId="8" hidden="1"/>
    <cellStyle name="Hipervínculo" xfId="236" builtinId="8" hidden="1"/>
    <cellStyle name="Hipervínculo" xfId="238" builtinId="8" hidden="1"/>
    <cellStyle name="Hipervínculo" xfId="240" builtinId="8" hidden="1"/>
    <cellStyle name="Hipervínculo" xfId="242" builtinId="8" hidden="1"/>
    <cellStyle name="Hipervínculo" xfId="244" builtinId="8" hidden="1"/>
    <cellStyle name="Hipervínculo" xfId="246" builtinId="8" hidden="1"/>
    <cellStyle name="Hipervínculo" xfId="248" builtinId="8" hidden="1"/>
    <cellStyle name="Hipervínculo" xfId="250" builtinId="8" hidden="1"/>
    <cellStyle name="Hipervínculo" xfId="252" builtinId="8" hidden="1"/>
    <cellStyle name="Hipervínculo" xfId="254" builtinId="8" hidden="1"/>
    <cellStyle name="Hipervínculo" xfId="256" builtinId="8" hidden="1"/>
    <cellStyle name="Hipervínculo" xfId="258" builtinId="8" hidden="1"/>
    <cellStyle name="Hipervínculo" xfId="260" builtinId="8" hidden="1"/>
    <cellStyle name="Hipervínculo" xfId="262" builtinId="8" hidden="1"/>
    <cellStyle name="Hipervínculo" xfId="264" builtinId="8" hidden="1"/>
    <cellStyle name="Hipervínculo" xfId="266" builtinId="8" hidden="1"/>
    <cellStyle name="Hipervínculo" xfId="268" builtinId="8" hidden="1"/>
    <cellStyle name="Hipervínculo" xfId="270" builtinId="8" hidden="1"/>
    <cellStyle name="Hipervínculo" xfId="272" builtinId="8" hidden="1"/>
    <cellStyle name="Hipervínculo" xfId="274" builtinId="8" hidden="1"/>
    <cellStyle name="Hipervínculo" xfId="276" builtinId="8" hidden="1"/>
    <cellStyle name="Hipervínculo" xfId="278" builtinId="8" hidden="1"/>
    <cellStyle name="Hipervínculo" xfId="280" builtinId="8" hidden="1"/>
    <cellStyle name="Hipervínculo" xfId="282" builtinId="8" hidden="1"/>
    <cellStyle name="Hipervínculo" xfId="284" builtinId="8" hidden="1"/>
    <cellStyle name="Hipervínculo" xfId="286" builtinId="8" hidden="1"/>
    <cellStyle name="Hipervínculo" xfId="288" builtinId="8" hidden="1"/>
    <cellStyle name="Hipervínculo" xfId="290" builtinId="8" hidden="1"/>
    <cellStyle name="Hipervínculo" xfId="292" builtinId="8" hidden="1"/>
    <cellStyle name="Hipervínculo" xfId="296" builtinId="8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Hipervínculo visitado" xfId="191" builtinId="9" hidden="1"/>
    <cellStyle name="Hipervínculo visitado" xfId="193" builtinId="9" hidden="1"/>
    <cellStyle name="Hipervínculo visitado" xfId="195" builtinId="9" hidden="1"/>
    <cellStyle name="Hipervínculo visitado" xfId="197" builtinId="9" hidden="1"/>
    <cellStyle name="Hipervínculo visitado" xfId="199" builtinId="9" hidden="1"/>
    <cellStyle name="Hipervínculo visitado" xfId="201" builtinId="9" hidden="1"/>
    <cellStyle name="Hipervínculo visitado" xfId="203" builtinId="9" hidden="1"/>
    <cellStyle name="Hipervínculo visitado" xfId="205" builtinId="9" hidden="1"/>
    <cellStyle name="Hipervínculo visitado" xfId="207" builtinId="9" hidden="1"/>
    <cellStyle name="Hipervínculo visitado" xfId="209" builtinId="9" hidden="1"/>
    <cellStyle name="Hipervínculo visitado" xfId="211" builtinId="9" hidden="1"/>
    <cellStyle name="Hipervínculo visitado" xfId="213" builtinId="9" hidden="1"/>
    <cellStyle name="Hipervínculo visitado" xfId="215" builtinId="9" hidden="1"/>
    <cellStyle name="Hipervínculo visitado" xfId="217" builtinId="9" hidden="1"/>
    <cellStyle name="Hipervínculo visitado" xfId="219" builtinId="9" hidden="1"/>
    <cellStyle name="Hipervínculo visitado" xfId="221" builtinId="9" hidden="1"/>
    <cellStyle name="Hipervínculo visitado" xfId="223" builtinId="9" hidden="1"/>
    <cellStyle name="Hipervínculo visitado" xfId="225" builtinId="9" hidden="1"/>
    <cellStyle name="Hipervínculo visitado" xfId="227" builtinId="9" hidden="1"/>
    <cellStyle name="Hipervínculo visitado" xfId="229" builtinId="9" hidden="1"/>
    <cellStyle name="Hipervínculo visitado" xfId="231" builtinId="9" hidden="1"/>
    <cellStyle name="Hipervínculo visitado" xfId="233" builtinId="9" hidden="1"/>
    <cellStyle name="Hipervínculo visitado" xfId="235" builtinId="9" hidden="1"/>
    <cellStyle name="Hipervínculo visitado" xfId="237" builtinId="9" hidden="1"/>
    <cellStyle name="Hipervínculo visitado" xfId="239" builtinId="9" hidden="1"/>
    <cellStyle name="Hipervínculo visitado" xfId="241" builtinId="9" hidden="1"/>
    <cellStyle name="Hipervínculo visitado" xfId="243" builtinId="9" hidden="1"/>
    <cellStyle name="Hipervínculo visitado" xfId="245" builtinId="9" hidden="1"/>
    <cellStyle name="Hipervínculo visitado" xfId="247" builtinId="9" hidden="1"/>
    <cellStyle name="Hipervínculo visitado" xfId="249" builtinId="9" hidden="1"/>
    <cellStyle name="Hipervínculo visitado" xfId="251" builtinId="9" hidden="1"/>
    <cellStyle name="Hipervínculo visitado" xfId="253" builtinId="9" hidden="1"/>
    <cellStyle name="Hipervínculo visitado" xfId="255" builtinId="9" hidden="1"/>
    <cellStyle name="Hipervínculo visitado" xfId="257" builtinId="9" hidden="1"/>
    <cellStyle name="Hipervínculo visitado" xfId="259" builtinId="9" hidden="1"/>
    <cellStyle name="Hipervínculo visitado" xfId="261" builtinId="9" hidden="1"/>
    <cellStyle name="Hipervínculo visitado" xfId="263" builtinId="9" hidden="1"/>
    <cellStyle name="Hipervínculo visitado" xfId="265" builtinId="9" hidden="1"/>
    <cellStyle name="Hipervínculo visitado" xfId="267" builtinId="9" hidden="1"/>
    <cellStyle name="Hipervínculo visitado" xfId="269" builtinId="9" hidden="1"/>
    <cellStyle name="Hipervínculo visitado" xfId="271" builtinId="9" hidden="1"/>
    <cellStyle name="Hipervínculo visitado" xfId="273" builtinId="9" hidden="1"/>
    <cellStyle name="Hipervínculo visitado" xfId="275" builtinId="9" hidden="1"/>
    <cellStyle name="Hipervínculo visitado" xfId="277" builtinId="9" hidden="1"/>
    <cellStyle name="Hipervínculo visitado" xfId="279" builtinId="9" hidden="1"/>
    <cellStyle name="Hipervínculo visitado" xfId="281" builtinId="9" hidden="1"/>
    <cellStyle name="Hipervínculo visitado" xfId="283" builtinId="9" hidden="1"/>
    <cellStyle name="Hipervínculo visitado" xfId="285" builtinId="9" hidden="1"/>
    <cellStyle name="Hipervínculo visitado" xfId="287" builtinId="9" hidden="1"/>
    <cellStyle name="Hipervínculo visitado" xfId="289" builtinId="9" hidden="1"/>
    <cellStyle name="Hipervínculo visitado" xfId="291" builtinId="9" hidden="1"/>
    <cellStyle name="Hipervínculo visitado" xfId="293" builtinId="9" hidden="1"/>
    <cellStyle name="Millares" xfId="294" builtinId="3"/>
    <cellStyle name="Millares 2" xfId="297"/>
    <cellStyle name="Moneda" xfId="1" builtinId="4"/>
    <cellStyle name="Normal" xfId="0" builtinId="0"/>
    <cellStyle name="Normal 10 3" xfId="298"/>
    <cellStyle name="Normal 4" xfId="299"/>
  </cellStyles>
  <dxfs count="0"/>
  <tableStyles count="0" defaultTableStyle="TableStyleMedium2" defaultPivotStyle="PivotStyleLight16"/>
  <colors>
    <mruColors>
      <color rgb="FF00FFFF"/>
      <color rgb="FF00CC66"/>
      <color rgb="FFCC99FF"/>
      <color rgb="FFFF33CC"/>
      <color rgb="FFCC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NEACION/Documents/INFOTEP%20-%20PLANEACION%202016/PLAN%20DE%20COMPRAS/PLAN%20DE%20COMPRAS%20%20A&#209;O%2020116%20AJUSTADO%20ANMEVI%20ENVIADO%20RECTO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COMPRAS AÑO 2016"/>
      <sheetName val="PRESU DESAGREGADO 2016"/>
      <sheetName val="Hoja2"/>
      <sheetName val="INFRAESTRUCTURA SAI"/>
    </sheetNames>
    <sheetDataSet>
      <sheetData sheetId="0"/>
      <sheetData sheetId="1">
        <row r="53">
          <cell r="C53">
            <v>3995734</v>
          </cell>
          <cell r="D53">
            <v>7000000</v>
          </cell>
        </row>
        <row r="59">
          <cell r="C59">
            <v>5250000</v>
          </cell>
          <cell r="D59">
            <v>4000000</v>
          </cell>
        </row>
        <row r="60">
          <cell r="D60">
            <v>27956613</v>
          </cell>
        </row>
        <row r="61">
          <cell r="C61">
            <v>39969840</v>
          </cell>
        </row>
      </sheetData>
      <sheetData sheetId="2">
        <row r="18">
          <cell r="K18">
            <v>193047400</v>
          </cell>
        </row>
        <row r="20">
          <cell r="K20">
            <v>19304740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otepsai.edu.co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468"/>
  <sheetViews>
    <sheetView tabSelected="1" zoomScale="77" zoomScaleNormal="80" workbookViewId="0">
      <selection activeCell="D4" sqref="D4"/>
    </sheetView>
  </sheetViews>
  <sheetFormatPr baseColWidth="10" defaultColWidth="10.85546875" defaultRowHeight="50.1" customHeight="1" x14ac:dyDescent="0.25"/>
  <cols>
    <col min="1" max="1" width="4" style="213" customWidth="1"/>
    <col min="2" max="2" width="29.140625" style="285" customWidth="1"/>
    <col min="3" max="3" width="62" style="213" customWidth="1"/>
    <col min="4" max="4" width="13.7109375" style="186" customWidth="1"/>
    <col min="5" max="5" width="22.85546875" style="285" customWidth="1"/>
    <col min="6" max="6" width="29.28515625" style="285" customWidth="1"/>
    <col min="7" max="7" width="19" style="285" customWidth="1"/>
    <col min="8" max="8" width="22" style="286" customWidth="1"/>
    <col min="9" max="9" width="26.7109375" style="201" customWidth="1"/>
    <col min="10" max="10" width="19.5703125" style="201" customWidth="1"/>
    <col min="11" max="11" width="24.140625" style="186" customWidth="1"/>
    <col min="12" max="12" width="23.28515625" style="285" customWidth="1"/>
    <col min="13" max="13" width="18.85546875" style="213" customWidth="1"/>
    <col min="14" max="14" width="40.7109375" style="213" customWidth="1"/>
    <col min="15" max="15" width="124.28515625" style="213" customWidth="1"/>
    <col min="16" max="256" width="10.85546875" style="213"/>
    <col min="257" max="257" width="4" style="213" customWidth="1"/>
    <col min="258" max="258" width="29.140625" style="213" customWidth="1"/>
    <col min="259" max="259" width="50.5703125" style="213" customWidth="1"/>
    <col min="260" max="260" width="17" style="213" customWidth="1"/>
    <col min="261" max="261" width="21.28515625" style="213" customWidth="1"/>
    <col min="262" max="262" width="35.5703125" style="213" customWidth="1"/>
    <col min="263" max="263" width="23.5703125" style="213" customWidth="1"/>
    <col min="264" max="264" width="17.42578125" style="213" customWidth="1"/>
    <col min="265" max="265" width="24.5703125" style="213" customWidth="1"/>
    <col min="266" max="266" width="21.85546875" style="213" customWidth="1"/>
    <col min="267" max="267" width="24.140625" style="213" customWidth="1"/>
    <col min="268" max="268" width="23.28515625" style="213" customWidth="1"/>
    <col min="269" max="269" width="18.85546875" style="213" customWidth="1"/>
    <col min="270" max="270" width="40.7109375" style="213" customWidth="1"/>
    <col min="271" max="271" width="124.28515625" style="213" customWidth="1"/>
    <col min="272" max="512" width="10.85546875" style="213"/>
    <col min="513" max="513" width="4" style="213" customWidth="1"/>
    <col min="514" max="514" width="29.140625" style="213" customWidth="1"/>
    <col min="515" max="515" width="50.5703125" style="213" customWidth="1"/>
    <col min="516" max="516" width="17" style="213" customWidth="1"/>
    <col min="517" max="517" width="21.28515625" style="213" customWidth="1"/>
    <col min="518" max="518" width="35.5703125" style="213" customWidth="1"/>
    <col min="519" max="519" width="23.5703125" style="213" customWidth="1"/>
    <col min="520" max="520" width="17.42578125" style="213" customWidth="1"/>
    <col min="521" max="521" width="24.5703125" style="213" customWidth="1"/>
    <col min="522" max="522" width="21.85546875" style="213" customWidth="1"/>
    <col min="523" max="523" width="24.140625" style="213" customWidth="1"/>
    <col min="524" max="524" width="23.28515625" style="213" customWidth="1"/>
    <col min="525" max="525" width="18.85546875" style="213" customWidth="1"/>
    <col min="526" max="526" width="40.7109375" style="213" customWidth="1"/>
    <col min="527" max="527" width="124.28515625" style="213" customWidth="1"/>
    <col min="528" max="768" width="10.85546875" style="213"/>
    <col min="769" max="769" width="4" style="213" customWidth="1"/>
    <col min="770" max="770" width="29.140625" style="213" customWidth="1"/>
    <col min="771" max="771" width="50.5703125" style="213" customWidth="1"/>
    <col min="772" max="772" width="17" style="213" customWidth="1"/>
    <col min="773" max="773" width="21.28515625" style="213" customWidth="1"/>
    <col min="774" max="774" width="35.5703125" style="213" customWidth="1"/>
    <col min="775" max="775" width="23.5703125" style="213" customWidth="1"/>
    <col min="776" max="776" width="17.42578125" style="213" customWidth="1"/>
    <col min="777" max="777" width="24.5703125" style="213" customWidth="1"/>
    <col min="778" max="778" width="21.85546875" style="213" customWidth="1"/>
    <col min="779" max="779" width="24.140625" style="213" customWidth="1"/>
    <col min="780" max="780" width="23.28515625" style="213" customWidth="1"/>
    <col min="781" max="781" width="18.85546875" style="213" customWidth="1"/>
    <col min="782" max="782" width="40.7109375" style="213" customWidth="1"/>
    <col min="783" max="783" width="124.28515625" style="213" customWidth="1"/>
    <col min="784" max="1024" width="10.85546875" style="213"/>
    <col min="1025" max="1025" width="4" style="213" customWidth="1"/>
    <col min="1026" max="1026" width="29.140625" style="213" customWidth="1"/>
    <col min="1027" max="1027" width="50.5703125" style="213" customWidth="1"/>
    <col min="1028" max="1028" width="17" style="213" customWidth="1"/>
    <col min="1029" max="1029" width="21.28515625" style="213" customWidth="1"/>
    <col min="1030" max="1030" width="35.5703125" style="213" customWidth="1"/>
    <col min="1031" max="1031" width="23.5703125" style="213" customWidth="1"/>
    <col min="1032" max="1032" width="17.42578125" style="213" customWidth="1"/>
    <col min="1033" max="1033" width="24.5703125" style="213" customWidth="1"/>
    <col min="1034" max="1034" width="21.85546875" style="213" customWidth="1"/>
    <col min="1035" max="1035" width="24.140625" style="213" customWidth="1"/>
    <col min="1036" max="1036" width="23.28515625" style="213" customWidth="1"/>
    <col min="1037" max="1037" width="18.85546875" style="213" customWidth="1"/>
    <col min="1038" max="1038" width="40.7109375" style="213" customWidth="1"/>
    <col min="1039" max="1039" width="124.28515625" style="213" customWidth="1"/>
    <col min="1040" max="1280" width="10.85546875" style="213"/>
    <col min="1281" max="1281" width="4" style="213" customWidth="1"/>
    <col min="1282" max="1282" width="29.140625" style="213" customWidth="1"/>
    <col min="1283" max="1283" width="50.5703125" style="213" customWidth="1"/>
    <col min="1284" max="1284" width="17" style="213" customWidth="1"/>
    <col min="1285" max="1285" width="21.28515625" style="213" customWidth="1"/>
    <col min="1286" max="1286" width="35.5703125" style="213" customWidth="1"/>
    <col min="1287" max="1287" width="23.5703125" style="213" customWidth="1"/>
    <col min="1288" max="1288" width="17.42578125" style="213" customWidth="1"/>
    <col min="1289" max="1289" width="24.5703125" style="213" customWidth="1"/>
    <col min="1290" max="1290" width="21.85546875" style="213" customWidth="1"/>
    <col min="1291" max="1291" width="24.140625" style="213" customWidth="1"/>
    <col min="1292" max="1292" width="23.28515625" style="213" customWidth="1"/>
    <col min="1293" max="1293" width="18.85546875" style="213" customWidth="1"/>
    <col min="1294" max="1294" width="40.7109375" style="213" customWidth="1"/>
    <col min="1295" max="1295" width="124.28515625" style="213" customWidth="1"/>
    <col min="1296" max="1536" width="10.85546875" style="213"/>
    <col min="1537" max="1537" width="4" style="213" customWidth="1"/>
    <col min="1538" max="1538" width="29.140625" style="213" customWidth="1"/>
    <col min="1539" max="1539" width="50.5703125" style="213" customWidth="1"/>
    <col min="1540" max="1540" width="17" style="213" customWidth="1"/>
    <col min="1541" max="1541" width="21.28515625" style="213" customWidth="1"/>
    <col min="1542" max="1542" width="35.5703125" style="213" customWidth="1"/>
    <col min="1543" max="1543" width="23.5703125" style="213" customWidth="1"/>
    <col min="1544" max="1544" width="17.42578125" style="213" customWidth="1"/>
    <col min="1545" max="1545" width="24.5703125" style="213" customWidth="1"/>
    <col min="1546" max="1546" width="21.85546875" style="213" customWidth="1"/>
    <col min="1547" max="1547" width="24.140625" style="213" customWidth="1"/>
    <col min="1548" max="1548" width="23.28515625" style="213" customWidth="1"/>
    <col min="1549" max="1549" width="18.85546875" style="213" customWidth="1"/>
    <col min="1550" max="1550" width="40.7109375" style="213" customWidth="1"/>
    <col min="1551" max="1551" width="124.28515625" style="213" customWidth="1"/>
    <col min="1552" max="1792" width="10.85546875" style="213"/>
    <col min="1793" max="1793" width="4" style="213" customWidth="1"/>
    <col min="1794" max="1794" width="29.140625" style="213" customWidth="1"/>
    <col min="1795" max="1795" width="50.5703125" style="213" customWidth="1"/>
    <col min="1796" max="1796" width="17" style="213" customWidth="1"/>
    <col min="1797" max="1797" width="21.28515625" style="213" customWidth="1"/>
    <col min="1798" max="1798" width="35.5703125" style="213" customWidth="1"/>
    <col min="1799" max="1799" width="23.5703125" style="213" customWidth="1"/>
    <col min="1800" max="1800" width="17.42578125" style="213" customWidth="1"/>
    <col min="1801" max="1801" width="24.5703125" style="213" customWidth="1"/>
    <col min="1802" max="1802" width="21.85546875" style="213" customWidth="1"/>
    <col min="1803" max="1803" width="24.140625" style="213" customWidth="1"/>
    <col min="1804" max="1804" width="23.28515625" style="213" customWidth="1"/>
    <col min="1805" max="1805" width="18.85546875" style="213" customWidth="1"/>
    <col min="1806" max="1806" width="40.7109375" style="213" customWidth="1"/>
    <col min="1807" max="1807" width="124.28515625" style="213" customWidth="1"/>
    <col min="1808" max="2048" width="10.85546875" style="213"/>
    <col min="2049" max="2049" width="4" style="213" customWidth="1"/>
    <col min="2050" max="2050" width="29.140625" style="213" customWidth="1"/>
    <col min="2051" max="2051" width="50.5703125" style="213" customWidth="1"/>
    <col min="2052" max="2052" width="17" style="213" customWidth="1"/>
    <col min="2053" max="2053" width="21.28515625" style="213" customWidth="1"/>
    <col min="2054" max="2054" width="35.5703125" style="213" customWidth="1"/>
    <col min="2055" max="2055" width="23.5703125" style="213" customWidth="1"/>
    <col min="2056" max="2056" width="17.42578125" style="213" customWidth="1"/>
    <col min="2057" max="2057" width="24.5703125" style="213" customWidth="1"/>
    <col min="2058" max="2058" width="21.85546875" style="213" customWidth="1"/>
    <col min="2059" max="2059" width="24.140625" style="213" customWidth="1"/>
    <col min="2060" max="2060" width="23.28515625" style="213" customWidth="1"/>
    <col min="2061" max="2061" width="18.85546875" style="213" customWidth="1"/>
    <col min="2062" max="2062" width="40.7109375" style="213" customWidth="1"/>
    <col min="2063" max="2063" width="124.28515625" style="213" customWidth="1"/>
    <col min="2064" max="2304" width="10.85546875" style="213"/>
    <col min="2305" max="2305" width="4" style="213" customWidth="1"/>
    <col min="2306" max="2306" width="29.140625" style="213" customWidth="1"/>
    <col min="2307" max="2307" width="50.5703125" style="213" customWidth="1"/>
    <col min="2308" max="2308" width="17" style="213" customWidth="1"/>
    <col min="2309" max="2309" width="21.28515625" style="213" customWidth="1"/>
    <col min="2310" max="2310" width="35.5703125" style="213" customWidth="1"/>
    <col min="2311" max="2311" width="23.5703125" style="213" customWidth="1"/>
    <col min="2312" max="2312" width="17.42578125" style="213" customWidth="1"/>
    <col min="2313" max="2313" width="24.5703125" style="213" customWidth="1"/>
    <col min="2314" max="2314" width="21.85546875" style="213" customWidth="1"/>
    <col min="2315" max="2315" width="24.140625" style="213" customWidth="1"/>
    <col min="2316" max="2316" width="23.28515625" style="213" customWidth="1"/>
    <col min="2317" max="2317" width="18.85546875" style="213" customWidth="1"/>
    <col min="2318" max="2318" width="40.7109375" style="213" customWidth="1"/>
    <col min="2319" max="2319" width="124.28515625" style="213" customWidth="1"/>
    <col min="2320" max="2560" width="10.85546875" style="213"/>
    <col min="2561" max="2561" width="4" style="213" customWidth="1"/>
    <col min="2562" max="2562" width="29.140625" style="213" customWidth="1"/>
    <col min="2563" max="2563" width="50.5703125" style="213" customWidth="1"/>
    <col min="2564" max="2564" width="17" style="213" customWidth="1"/>
    <col min="2565" max="2565" width="21.28515625" style="213" customWidth="1"/>
    <col min="2566" max="2566" width="35.5703125" style="213" customWidth="1"/>
    <col min="2567" max="2567" width="23.5703125" style="213" customWidth="1"/>
    <col min="2568" max="2568" width="17.42578125" style="213" customWidth="1"/>
    <col min="2569" max="2569" width="24.5703125" style="213" customWidth="1"/>
    <col min="2570" max="2570" width="21.85546875" style="213" customWidth="1"/>
    <col min="2571" max="2571" width="24.140625" style="213" customWidth="1"/>
    <col min="2572" max="2572" width="23.28515625" style="213" customWidth="1"/>
    <col min="2573" max="2573" width="18.85546875" style="213" customWidth="1"/>
    <col min="2574" max="2574" width="40.7109375" style="213" customWidth="1"/>
    <col min="2575" max="2575" width="124.28515625" style="213" customWidth="1"/>
    <col min="2576" max="2816" width="10.85546875" style="213"/>
    <col min="2817" max="2817" width="4" style="213" customWidth="1"/>
    <col min="2818" max="2818" width="29.140625" style="213" customWidth="1"/>
    <col min="2819" max="2819" width="50.5703125" style="213" customWidth="1"/>
    <col min="2820" max="2820" width="17" style="213" customWidth="1"/>
    <col min="2821" max="2821" width="21.28515625" style="213" customWidth="1"/>
    <col min="2822" max="2822" width="35.5703125" style="213" customWidth="1"/>
    <col min="2823" max="2823" width="23.5703125" style="213" customWidth="1"/>
    <col min="2824" max="2824" width="17.42578125" style="213" customWidth="1"/>
    <col min="2825" max="2825" width="24.5703125" style="213" customWidth="1"/>
    <col min="2826" max="2826" width="21.85546875" style="213" customWidth="1"/>
    <col min="2827" max="2827" width="24.140625" style="213" customWidth="1"/>
    <col min="2828" max="2828" width="23.28515625" style="213" customWidth="1"/>
    <col min="2829" max="2829" width="18.85546875" style="213" customWidth="1"/>
    <col min="2830" max="2830" width="40.7109375" style="213" customWidth="1"/>
    <col min="2831" max="2831" width="124.28515625" style="213" customWidth="1"/>
    <col min="2832" max="3072" width="10.85546875" style="213"/>
    <col min="3073" max="3073" width="4" style="213" customWidth="1"/>
    <col min="3074" max="3074" width="29.140625" style="213" customWidth="1"/>
    <col min="3075" max="3075" width="50.5703125" style="213" customWidth="1"/>
    <col min="3076" max="3076" width="17" style="213" customWidth="1"/>
    <col min="3077" max="3077" width="21.28515625" style="213" customWidth="1"/>
    <col min="3078" max="3078" width="35.5703125" style="213" customWidth="1"/>
    <col min="3079" max="3079" width="23.5703125" style="213" customWidth="1"/>
    <col min="3080" max="3080" width="17.42578125" style="213" customWidth="1"/>
    <col min="3081" max="3081" width="24.5703125" style="213" customWidth="1"/>
    <col min="3082" max="3082" width="21.85546875" style="213" customWidth="1"/>
    <col min="3083" max="3083" width="24.140625" style="213" customWidth="1"/>
    <col min="3084" max="3084" width="23.28515625" style="213" customWidth="1"/>
    <col min="3085" max="3085" width="18.85546875" style="213" customWidth="1"/>
    <col min="3086" max="3086" width="40.7109375" style="213" customWidth="1"/>
    <col min="3087" max="3087" width="124.28515625" style="213" customWidth="1"/>
    <col min="3088" max="3328" width="10.85546875" style="213"/>
    <col min="3329" max="3329" width="4" style="213" customWidth="1"/>
    <col min="3330" max="3330" width="29.140625" style="213" customWidth="1"/>
    <col min="3331" max="3331" width="50.5703125" style="213" customWidth="1"/>
    <col min="3332" max="3332" width="17" style="213" customWidth="1"/>
    <col min="3333" max="3333" width="21.28515625" style="213" customWidth="1"/>
    <col min="3334" max="3334" width="35.5703125" style="213" customWidth="1"/>
    <col min="3335" max="3335" width="23.5703125" style="213" customWidth="1"/>
    <col min="3336" max="3336" width="17.42578125" style="213" customWidth="1"/>
    <col min="3337" max="3337" width="24.5703125" style="213" customWidth="1"/>
    <col min="3338" max="3338" width="21.85546875" style="213" customWidth="1"/>
    <col min="3339" max="3339" width="24.140625" style="213" customWidth="1"/>
    <col min="3340" max="3340" width="23.28515625" style="213" customWidth="1"/>
    <col min="3341" max="3341" width="18.85546875" style="213" customWidth="1"/>
    <col min="3342" max="3342" width="40.7109375" style="213" customWidth="1"/>
    <col min="3343" max="3343" width="124.28515625" style="213" customWidth="1"/>
    <col min="3344" max="3584" width="10.85546875" style="213"/>
    <col min="3585" max="3585" width="4" style="213" customWidth="1"/>
    <col min="3586" max="3586" width="29.140625" style="213" customWidth="1"/>
    <col min="3587" max="3587" width="50.5703125" style="213" customWidth="1"/>
    <col min="3588" max="3588" width="17" style="213" customWidth="1"/>
    <col min="3589" max="3589" width="21.28515625" style="213" customWidth="1"/>
    <col min="3590" max="3590" width="35.5703125" style="213" customWidth="1"/>
    <col min="3591" max="3591" width="23.5703125" style="213" customWidth="1"/>
    <col min="3592" max="3592" width="17.42578125" style="213" customWidth="1"/>
    <col min="3593" max="3593" width="24.5703125" style="213" customWidth="1"/>
    <col min="3594" max="3594" width="21.85546875" style="213" customWidth="1"/>
    <col min="3595" max="3595" width="24.140625" style="213" customWidth="1"/>
    <col min="3596" max="3596" width="23.28515625" style="213" customWidth="1"/>
    <col min="3597" max="3597" width="18.85546875" style="213" customWidth="1"/>
    <col min="3598" max="3598" width="40.7109375" style="213" customWidth="1"/>
    <col min="3599" max="3599" width="124.28515625" style="213" customWidth="1"/>
    <col min="3600" max="3840" width="10.85546875" style="213"/>
    <col min="3841" max="3841" width="4" style="213" customWidth="1"/>
    <col min="3842" max="3842" width="29.140625" style="213" customWidth="1"/>
    <col min="3843" max="3843" width="50.5703125" style="213" customWidth="1"/>
    <col min="3844" max="3844" width="17" style="213" customWidth="1"/>
    <col min="3845" max="3845" width="21.28515625" style="213" customWidth="1"/>
    <col min="3846" max="3846" width="35.5703125" style="213" customWidth="1"/>
    <col min="3847" max="3847" width="23.5703125" style="213" customWidth="1"/>
    <col min="3848" max="3848" width="17.42578125" style="213" customWidth="1"/>
    <col min="3849" max="3849" width="24.5703125" style="213" customWidth="1"/>
    <col min="3850" max="3850" width="21.85546875" style="213" customWidth="1"/>
    <col min="3851" max="3851" width="24.140625" style="213" customWidth="1"/>
    <col min="3852" max="3852" width="23.28515625" style="213" customWidth="1"/>
    <col min="3853" max="3853" width="18.85546875" style="213" customWidth="1"/>
    <col min="3854" max="3854" width="40.7109375" style="213" customWidth="1"/>
    <col min="3855" max="3855" width="124.28515625" style="213" customWidth="1"/>
    <col min="3856" max="4096" width="10.85546875" style="213"/>
    <col min="4097" max="4097" width="4" style="213" customWidth="1"/>
    <col min="4098" max="4098" width="29.140625" style="213" customWidth="1"/>
    <col min="4099" max="4099" width="50.5703125" style="213" customWidth="1"/>
    <col min="4100" max="4100" width="17" style="213" customWidth="1"/>
    <col min="4101" max="4101" width="21.28515625" style="213" customWidth="1"/>
    <col min="4102" max="4102" width="35.5703125" style="213" customWidth="1"/>
    <col min="4103" max="4103" width="23.5703125" style="213" customWidth="1"/>
    <col min="4104" max="4104" width="17.42578125" style="213" customWidth="1"/>
    <col min="4105" max="4105" width="24.5703125" style="213" customWidth="1"/>
    <col min="4106" max="4106" width="21.85546875" style="213" customWidth="1"/>
    <col min="4107" max="4107" width="24.140625" style="213" customWidth="1"/>
    <col min="4108" max="4108" width="23.28515625" style="213" customWidth="1"/>
    <col min="4109" max="4109" width="18.85546875" style="213" customWidth="1"/>
    <col min="4110" max="4110" width="40.7109375" style="213" customWidth="1"/>
    <col min="4111" max="4111" width="124.28515625" style="213" customWidth="1"/>
    <col min="4112" max="4352" width="10.85546875" style="213"/>
    <col min="4353" max="4353" width="4" style="213" customWidth="1"/>
    <col min="4354" max="4354" width="29.140625" style="213" customWidth="1"/>
    <col min="4355" max="4355" width="50.5703125" style="213" customWidth="1"/>
    <col min="4356" max="4356" width="17" style="213" customWidth="1"/>
    <col min="4357" max="4357" width="21.28515625" style="213" customWidth="1"/>
    <col min="4358" max="4358" width="35.5703125" style="213" customWidth="1"/>
    <col min="4359" max="4359" width="23.5703125" style="213" customWidth="1"/>
    <col min="4360" max="4360" width="17.42578125" style="213" customWidth="1"/>
    <col min="4361" max="4361" width="24.5703125" style="213" customWidth="1"/>
    <col min="4362" max="4362" width="21.85546875" style="213" customWidth="1"/>
    <col min="4363" max="4363" width="24.140625" style="213" customWidth="1"/>
    <col min="4364" max="4364" width="23.28515625" style="213" customWidth="1"/>
    <col min="4365" max="4365" width="18.85546875" style="213" customWidth="1"/>
    <col min="4366" max="4366" width="40.7109375" style="213" customWidth="1"/>
    <col min="4367" max="4367" width="124.28515625" style="213" customWidth="1"/>
    <col min="4368" max="4608" width="10.85546875" style="213"/>
    <col min="4609" max="4609" width="4" style="213" customWidth="1"/>
    <col min="4610" max="4610" width="29.140625" style="213" customWidth="1"/>
    <col min="4611" max="4611" width="50.5703125" style="213" customWidth="1"/>
    <col min="4612" max="4612" width="17" style="213" customWidth="1"/>
    <col min="4613" max="4613" width="21.28515625" style="213" customWidth="1"/>
    <col min="4614" max="4614" width="35.5703125" style="213" customWidth="1"/>
    <col min="4615" max="4615" width="23.5703125" style="213" customWidth="1"/>
    <col min="4616" max="4616" width="17.42578125" style="213" customWidth="1"/>
    <col min="4617" max="4617" width="24.5703125" style="213" customWidth="1"/>
    <col min="4618" max="4618" width="21.85546875" style="213" customWidth="1"/>
    <col min="4619" max="4619" width="24.140625" style="213" customWidth="1"/>
    <col min="4620" max="4620" width="23.28515625" style="213" customWidth="1"/>
    <col min="4621" max="4621" width="18.85546875" style="213" customWidth="1"/>
    <col min="4622" max="4622" width="40.7109375" style="213" customWidth="1"/>
    <col min="4623" max="4623" width="124.28515625" style="213" customWidth="1"/>
    <col min="4624" max="4864" width="10.85546875" style="213"/>
    <col min="4865" max="4865" width="4" style="213" customWidth="1"/>
    <col min="4866" max="4866" width="29.140625" style="213" customWidth="1"/>
    <col min="4867" max="4867" width="50.5703125" style="213" customWidth="1"/>
    <col min="4868" max="4868" width="17" style="213" customWidth="1"/>
    <col min="4869" max="4869" width="21.28515625" style="213" customWidth="1"/>
    <col min="4870" max="4870" width="35.5703125" style="213" customWidth="1"/>
    <col min="4871" max="4871" width="23.5703125" style="213" customWidth="1"/>
    <col min="4872" max="4872" width="17.42578125" style="213" customWidth="1"/>
    <col min="4873" max="4873" width="24.5703125" style="213" customWidth="1"/>
    <col min="4874" max="4874" width="21.85546875" style="213" customWidth="1"/>
    <col min="4875" max="4875" width="24.140625" style="213" customWidth="1"/>
    <col min="4876" max="4876" width="23.28515625" style="213" customWidth="1"/>
    <col min="4877" max="4877" width="18.85546875" style="213" customWidth="1"/>
    <col min="4878" max="4878" width="40.7109375" style="213" customWidth="1"/>
    <col min="4879" max="4879" width="124.28515625" style="213" customWidth="1"/>
    <col min="4880" max="5120" width="10.85546875" style="213"/>
    <col min="5121" max="5121" width="4" style="213" customWidth="1"/>
    <col min="5122" max="5122" width="29.140625" style="213" customWidth="1"/>
    <col min="5123" max="5123" width="50.5703125" style="213" customWidth="1"/>
    <col min="5124" max="5124" width="17" style="213" customWidth="1"/>
    <col min="5125" max="5125" width="21.28515625" style="213" customWidth="1"/>
    <col min="5126" max="5126" width="35.5703125" style="213" customWidth="1"/>
    <col min="5127" max="5127" width="23.5703125" style="213" customWidth="1"/>
    <col min="5128" max="5128" width="17.42578125" style="213" customWidth="1"/>
    <col min="5129" max="5129" width="24.5703125" style="213" customWidth="1"/>
    <col min="5130" max="5130" width="21.85546875" style="213" customWidth="1"/>
    <col min="5131" max="5131" width="24.140625" style="213" customWidth="1"/>
    <col min="5132" max="5132" width="23.28515625" style="213" customWidth="1"/>
    <col min="5133" max="5133" width="18.85546875" style="213" customWidth="1"/>
    <col min="5134" max="5134" width="40.7109375" style="213" customWidth="1"/>
    <col min="5135" max="5135" width="124.28515625" style="213" customWidth="1"/>
    <col min="5136" max="5376" width="10.85546875" style="213"/>
    <col min="5377" max="5377" width="4" style="213" customWidth="1"/>
    <col min="5378" max="5378" width="29.140625" style="213" customWidth="1"/>
    <col min="5379" max="5379" width="50.5703125" style="213" customWidth="1"/>
    <col min="5380" max="5380" width="17" style="213" customWidth="1"/>
    <col min="5381" max="5381" width="21.28515625" style="213" customWidth="1"/>
    <col min="5382" max="5382" width="35.5703125" style="213" customWidth="1"/>
    <col min="5383" max="5383" width="23.5703125" style="213" customWidth="1"/>
    <col min="5384" max="5384" width="17.42578125" style="213" customWidth="1"/>
    <col min="5385" max="5385" width="24.5703125" style="213" customWidth="1"/>
    <col min="5386" max="5386" width="21.85546875" style="213" customWidth="1"/>
    <col min="5387" max="5387" width="24.140625" style="213" customWidth="1"/>
    <col min="5388" max="5388" width="23.28515625" style="213" customWidth="1"/>
    <col min="5389" max="5389" width="18.85546875" style="213" customWidth="1"/>
    <col min="5390" max="5390" width="40.7109375" style="213" customWidth="1"/>
    <col min="5391" max="5391" width="124.28515625" style="213" customWidth="1"/>
    <col min="5392" max="5632" width="10.85546875" style="213"/>
    <col min="5633" max="5633" width="4" style="213" customWidth="1"/>
    <col min="5634" max="5634" width="29.140625" style="213" customWidth="1"/>
    <col min="5635" max="5635" width="50.5703125" style="213" customWidth="1"/>
    <col min="5636" max="5636" width="17" style="213" customWidth="1"/>
    <col min="5637" max="5637" width="21.28515625" style="213" customWidth="1"/>
    <col min="5638" max="5638" width="35.5703125" style="213" customWidth="1"/>
    <col min="5639" max="5639" width="23.5703125" style="213" customWidth="1"/>
    <col min="5640" max="5640" width="17.42578125" style="213" customWidth="1"/>
    <col min="5641" max="5641" width="24.5703125" style="213" customWidth="1"/>
    <col min="5642" max="5642" width="21.85546875" style="213" customWidth="1"/>
    <col min="5643" max="5643" width="24.140625" style="213" customWidth="1"/>
    <col min="5644" max="5644" width="23.28515625" style="213" customWidth="1"/>
    <col min="5645" max="5645" width="18.85546875" style="213" customWidth="1"/>
    <col min="5646" max="5646" width="40.7109375" style="213" customWidth="1"/>
    <col min="5647" max="5647" width="124.28515625" style="213" customWidth="1"/>
    <col min="5648" max="5888" width="10.85546875" style="213"/>
    <col min="5889" max="5889" width="4" style="213" customWidth="1"/>
    <col min="5890" max="5890" width="29.140625" style="213" customWidth="1"/>
    <col min="5891" max="5891" width="50.5703125" style="213" customWidth="1"/>
    <col min="5892" max="5892" width="17" style="213" customWidth="1"/>
    <col min="5893" max="5893" width="21.28515625" style="213" customWidth="1"/>
    <col min="5894" max="5894" width="35.5703125" style="213" customWidth="1"/>
    <col min="5895" max="5895" width="23.5703125" style="213" customWidth="1"/>
    <col min="5896" max="5896" width="17.42578125" style="213" customWidth="1"/>
    <col min="5897" max="5897" width="24.5703125" style="213" customWidth="1"/>
    <col min="5898" max="5898" width="21.85546875" style="213" customWidth="1"/>
    <col min="5899" max="5899" width="24.140625" style="213" customWidth="1"/>
    <col min="5900" max="5900" width="23.28515625" style="213" customWidth="1"/>
    <col min="5901" max="5901" width="18.85546875" style="213" customWidth="1"/>
    <col min="5902" max="5902" width="40.7109375" style="213" customWidth="1"/>
    <col min="5903" max="5903" width="124.28515625" style="213" customWidth="1"/>
    <col min="5904" max="6144" width="10.85546875" style="213"/>
    <col min="6145" max="6145" width="4" style="213" customWidth="1"/>
    <col min="6146" max="6146" width="29.140625" style="213" customWidth="1"/>
    <col min="6147" max="6147" width="50.5703125" style="213" customWidth="1"/>
    <col min="6148" max="6148" width="17" style="213" customWidth="1"/>
    <col min="6149" max="6149" width="21.28515625" style="213" customWidth="1"/>
    <col min="6150" max="6150" width="35.5703125" style="213" customWidth="1"/>
    <col min="6151" max="6151" width="23.5703125" style="213" customWidth="1"/>
    <col min="6152" max="6152" width="17.42578125" style="213" customWidth="1"/>
    <col min="6153" max="6153" width="24.5703125" style="213" customWidth="1"/>
    <col min="6154" max="6154" width="21.85546875" style="213" customWidth="1"/>
    <col min="6155" max="6155" width="24.140625" style="213" customWidth="1"/>
    <col min="6156" max="6156" width="23.28515625" style="213" customWidth="1"/>
    <col min="6157" max="6157" width="18.85546875" style="213" customWidth="1"/>
    <col min="6158" max="6158" width="40.7109375" style="213" customWidth="1"/>
    <col min="6159" max="6159" width="124.28515625" style="213" customWidth="1"/>
    <col min="6160" max="6400" width="10.85546875" style="213"/>
    <col min="6401" max="6401" width="4" style="213" customWidth="1"/>
    <col min="6402" max="6402" width="29.140625" style="213" customWidth="1"/>
    <col min="6403" max="6403" width="50.5703125" style="213" customWidth="1"/>
    <col min="6404" max="6404" width="17" style="213" customWidth="1"/>
    <col min="6405" max="6405" width="21.28515625" style="213" customWidth="1"/>
    <col min="6406" max="6406" width="35.5703125" style="213" customWidth="1"/>
    <col min="6407" max="6407" width="23.5703125" style="213" customWidth="1"/>
    <col min="6408" max="6408" width="17.42578125" style="213" customWidth="1"/>
    <col min="6409" max="6409" width="24.5703125" style="213" customWidth="1"/>
    <col min="6410" max="6410" width="21.85546875" style="213" customWidth="1"/>
    <col min="6411" max="6411" width="24.140625" style="213" customWidth="1"/>
    <col min="6412" max="6412" width="23.28515625" style="213" customWidth="1"/>
    <col min="6413" max="6413" width="18.85546875" style="213" customWidth="1"/>
    <col min="6414" max="6414" width="40.7109375" style="213" customWidth="1"/>
    <col min="6415" max="6415" width="124.28515625" style="213" customWidth="1"/>
    <col min="6416" max="6656" width="10.85546875" style="213"/>
    <col min="6657" max="6657" width="4" style="213" customWidth="1"/>
    <col min="6658" max="6658" width="29.140625" style="213" customWidth="1"/>
    <col min="6659" max="6659" width="50.5703125" style="213" customWidth="1"/>
    <col min="6660" max="6660" width="17" style="213" customWidth="1"/>
    <col min="6661" max="6661" width="21.28515625" style="213" customWidth="1"/>
    <col min="6662" max="6662" width="35.5703125" style="213" customWidth="1"/>
    <col min="6663" max="6663" width="23.5703125" style="213" customWidth="1"/>
    <col min="6664" max="6664" width="17.42578125" style="213" customWidth="1"/>
    <col min="6665" max="6665" width="24.5703125" style="213" customWidth="1"/>
    <col min="6666" max="6666" width="21.85546875" style="213" customWidth="1"/>
    <col min="6667" max="6667" width="24.140625" style="213" customWidth="1"/>
    <col min="6668" max="6668" width="23.28515625" style="213" customWidth="1"/>
    <col min="6669" max="6669" width="18.85546875" style="213" customWidth="1"/>
    <col min="6670" max="6670" width="40.7109375" style="213" customWidth="1"/>
    <col min="6671" max="6671" width="124.28515625" style="213" customWidth="1"/>
    <col min="6672" max="6912" width="10.85546875" style="213"/>
    <col min="6913" max="6913" width="4" style="213" customWidth="1"/>
    <col min="6914" max="6914" width="29.140625" style="213" customWidth="1"/>
    <col min="6915" max="6915" width="50.5703125" style="213" customWidth="1"/>
    <col min="6916" max="6916" width="17" style="213" customWidth="1"/>
    <col min="6917" max="6917" width="21.28515625" style="213" customWidth="1"/>
    <col min="6918" max="6918" width="35.5703125" style="213" customWidth="1"/>
    <col min="6919" max="6919" width="23.5703125" style="213" customWidth="1"/>
    <col min="6920" max="6920" width="17.42578125" style="213" customWidth="1"/>
    <col min="6921" max="6921" width="24.5703125" style="213" customWidth="1"/>
    <col min="6922" max="6922" width="21.85546875" style="213" customWidth="1"/>
    <col min="6923" max="6923" width="24.140625" style="213" customWidth="1"/>
    <col min="6924" max="6924" width="23.28515625" style="213" customWidth="1"/>
    <col min="6925" max="6925" width="18.85546875" style="213" customWidth="1"/>
    <col min="6926" max="6926" width="40.7109375" style="213" customWidth="1"/>
    <col min="6927" max="6927" width="124.28515625" style="213" customWidth="1"/>
    <col min="6928" max="7168" width="10.85546875" style="213"/>
    <col min="7169" max="7169" width="4" style="213" customWidth="1"/>
    <col min="7170" max="7170" width="29.140625" style="213" customWidth="1"/>
    <col min="7171" max="7171" width="50.5703125" style="213" customWidth="1"/>
    <col min="7172" max="7172" width="17" style="213" customWidth="1"/>
    <col min="7173" max="7173" width="21.28515625" style="213" customWidth="1"/>
    <col min="7174" max="7174" width="35.5703125" style="213" customWidth="1"/>
    <col min="7175" max="7175" width="23.5703125" style="213" customWidth="1"/>
    <col min="7176" max="7176" width="17.42578125" style="213" customWidth="1"/>
    <col min="7177" max="7177" width="24.5703125" style="213" customWidth="1"/>
    <col min="7178" max="7178" width="21.85546875" style="213" customWidth="1"/>
    <col min="7179" max="7179" width="24.140625" style="213" customWidth="1"/>
    <col min="7180" max="7180" width="23.28515625" style="213" customWidth="1"/>
    <col min="7181" max="7181" width="18.85546875" style="213" customWidth="1"/>
    <col min="7182" max="7182" width="40.7109375" style="213" customWidth="1"/>
    <col min="7183" max="7183" width="124.28515625" style="213" customWidth="1"/>
    <col min="7184" max="7424" width="10.85546875" style="213"/>
    <col min="7425" max="7425" width="4" style="213" customWidth="1"/>
    <col min="7426" max="7426" width="29.140625" style="213" customWidth="1"/>
    <col min="7427" max="7427" width="50.5703125" style="213" customWidth="1"/>
    <col min="7428" max="7428" width="17" style="213" customWidth="1"/>
    <col min="7429" max="7429" width="21.28515625" style="213" customWidth="1"/>
    <col min="7430" max="7430" width="35.5703125" style="213" customWidth="1"/>
    <col min="7431" max="7431" width="23.5703125" style="213" customWidth="1"/>
    <col min="7432" max="7432" width="17.42578125" style="213" customWidth="1"/>
    <col min="7433" max="7433" width="24.5703125" style="213" customWidth="1"/>
    <col min="7434" max="7434" width="21.85546875" style="213" customWidth="1"/>
    <col min="7435" max="7435" width="24.140625" style="213" customWidth="1"/>
    <col min="7436" max="7436" width="23.28515625" style="213" customWidth="1"/>
    <col min="7437" max="7437" width="18.85546875" style="213" customWidth="1"/>
    <col min="7438" max="7438" width="40.7109375" style="213" customWidth="1"/>
    <col min="7439" max="7439" width="124.28515625" style="213" customWidth="1"/>
    <col min="7440" max="7680" width="10.85546875" style="213"/>
    <col min="7681" max="7681" width="4" style="213" customWidth="1"/>
    <col min="7682" max="7682" width="29.140625" style="213" customWidth="1"/>
    <col min="7683" max="7683" width="50.5703125" style="213" customWidth="1"/>
    <col min="7684" max="7684" width="17" style="213" customWidth="1"/>
    <col min="7685" max="7685" width="21.28515625" style="213" customWidth="1"/>
    <col min="7686" max="7686" width="35.5703125" style="213" customWidth="1"/>
    <col min="7687" max="7687" width="23.5703125" style="213" customWidth="1"/>
    <col min="7688" max="7688" width="17.42578125" style="213" customWidth="1"/>
    <col min="7689" max="7689" width="24.5703125" style="213" customWidth="1"/>
    <col min="7690" max="7690" width="21.85546875" style="213" customWidth="1"/>
    <col min="7691" max="7691" width="24.140625" style="213" customWidth="1"/>
    <col min="7692" max="7692" width="23.28515625" style="213" customWidth="1"/>
    <col min="7693" max="7693" width="18.85546875" style="213" customWidth="1"/>
    <col min="7694" max="7694" width="40.7109375" style="213" customWidth="1"/>
    <col min="7695" max="7695" width="124.28515625" style="213" customWidth="1"/>
    <col min="7696" max="7936" width="10.85546875" style="213"/>
    <col min="7937" max="7937" width="4" style="213" customWidth="1"/>
    <col min="7938" max="7938" width="29.140625" style="213" customWidth="1"/>
    <col min="7939" max="7939" width="50.5703125" style="213" customWidth="1"/>
    <col min="7940" max="7940" width="17" style="213" customWidth="1"/>
    <col min="7941" max="7941" width="21.28515625" style="213" customWidth="1"/>
    <col min="7942" max="7942" width="35.5703125" style="213" customWidth="1"/>
    <col min="7943" max="7943" width="23.5703125" style="213" customWidth="1"/>
    <col min="7944" max="7944" width="17.42578125" style="213" customWidth="1"/>
    <col min="7945" max="7945" width="24.5703125" style="213" customWidth="1"/>
    <col min="7946" max="7946" width="21.85546875" style="213" customWidth="1"/>
    <col min="7947" max="7947" width="24.140625" style="213" customWidth="1"/>
    <col min="7948" max="7948" width="23.28515625" style="213" customWidth="1"/>
    <col min="7949" max="7949" width="18.85546875" style="213" customWidth="1"/>
    <col min="7950" max="7950" width="40.7109375" style="213" customWidth="1"/>
    <col min="7951" max="7951" width="124.28515625" style="213" customWidth="1"/>
    <col min="7952" max="8192" width="10.85546875" style="213"/>
    <col min="8193" max="8193" width="4" style="213" customWidth="1"/>
    <col min="8194" max="8194" width="29.140625" style="213" customWidth="1"/>
    <col min="8195" max="8195" width="50.5703125" style="213" customWidth="1"/>
    <col min="8196" max="8196" width="17" style="213" customWidth="1"/>
    <col min="8197" max="8197" width="21.28515625" style="213" customWidth="1"/>
    <col min="8198" max="8198" width="35.5703125" style="213" customWidth="1"/>
    <col min="8199" max="8199" width="23.5703125" style="213" customWidth="1"/>
    <col min="8200" max="8200" width="17.42578125" style="213" customWidth="1"/>
    <col min="8201" max="8201" width="24.5703125" style="213" customWidth="1"/>
    <col min="8202" max="8202" width="21.85546875" style="213" customWidth="1"/>
    <col min="8203" max="8203" width="24.140625" style="213" customWidth="1"/>
    <col min="8204" max="8204" width="23.28515625" style="213" customWidth="1"/>
    <col min="8205" max="8205" width="18.85546875" style="213" customWidth="1"/>
    <col min="8206" max="8206" width="40.7109375" style="213" customWidth="1"/>
    <col min="8207" max="8207" width="124.28515625" style="213" customWidth="1"/>
    <col min="8208" max="8448" width="10.85546875" style="213"/>
    <col min="8449" max="8449" width="4" style="213" customWidth="1"/>
    <col min="8450" max="8450" width="29.140625" style="213" customWidth="1"/>
    <col min="8451" max="8451" width="50.5703125" style="213" customWidth="1"/>
    <col min="8452" max="8452" width="17" style="213" customWidth="1"/>
    <col min="8453" max="8453" width="21.28515625" style="213" customWidth="1"/>
    <col min="8454" max="8454" width="35.5703125" style="213" customWidth="1"/>
    <col min="8455" max="8455" width="23.5703125" style="213" customWidth="1"/>
    <col min="8456" max="8456" width="17.42578125" style="213" customWidth="1"/>
    <col min="8457" max="8457" width="24.5703125" style="213" customWidth="1"/>
    <col min="8458" max="8458" width="21.85546875" style="213" customWidth="1"/>
    <col min="8459" max="8459" width="24.140625" style="213" customWidth="1"/>
    <col min="8460" max="8460" width="23.28515625" style="213" customWidth="1"/>
    <col min="8461" max="8461" width="18.85546875" style="213" customWidth="1"/>
    <col min="8462" max="8462" width="40.7109375" style="213" customWidth="1"/>
    <col min="8463" max="8463" width="124.28515625" style="213" customWidth="1"/>
    <col min="8464" max="8704" width="10.85546875" style="213"/>
    <col min="8705" max="8705" width="4" style="213" customWidth="1"/>
    <col min="8706" max="8706" width="29.140625" style="213" customWidth="1"/>
    <col min="8707" max="8707" width="50.5703125" style="213" customWidth="1"/>
    <col min="8708" max="8708" width="17" style="213" customWidth="1"/>
    <col min="8709" max="8709" width="21.28515625" style="213" customWidth="1"/>
    <col min="8710" max="8710" width="35.5703125" style="213" customWidth="1"/>
    <col min="8711" max="8711" width="23.5703125" style="213" customWidth="1"/>
    <col min="8712" max="8712" width="17.42578125" style="213" customWidth="1"/>
    <col min="8713" max="8713" width="24.5703125" style="213" customWidth="1"/>
    <col min="8714" max="8714" width="21.85546875" style="213" customWidth="1"/>
    <col min="8715" max="8715" width="24.140625" style="213" customWidth="1"/>
    <col min="8716" max="8716" width="23.28515625" style="213" customWidth="1"/>
    <col min="8717" max="8717" width="18.85546875" style="213" customWidth="1"/>
    <col min="8718" max="8718" width="40.7109375" style="213" customWidth="1"/>
    <col min="8719" max="8719" width="124.28515625" style="213" customWidth="1"/>
    <col min="8720" max="8960" width="10.85546875" style="213"/>
    <col min="8961" max="8961" width="4" style="213" customWidth="1"/>
    <col min="8962" max="8962" width="29.140625" style="213" customWidth="1"/>
    <col min="8963" max="8963" width="50.5703125" style="213" customWidth="1"/>
    <col min="8964" max="8964" width="17" style="213" customWidth="1"/>
    <col min="8965" max="8965" width="21.28515625" style="213" customWidth="1"/>
    <col min="8966" max="8966" width="35.5703125" style="213" customWidth="1"/>
    <col min="8967" max="8967" width="23.5703125" style="213" customWidth="1"/>
    <col min="8968" max="8968" width="17.42578125" style="213" customWidth="1"/>
    <col min="8969" max="8969" width="24.5703125" style="213" customWidth="1"/>
    <col min="8970" max="8970" width="21.85546875" style="213" customWidth="1"/>
    <col min="8971" max="8971" width="24.140625" style="213" customWidth="1"/>
    <col min="8972" max="8972" width="23.28515625" style="213" customWidth="1"/>
    <col min="8973" max="8973" width="18.85546875" style="213" customWidth="1"/>
    <col min="8974" max="8974" width="40.7109375" style="213" customWidth="1"/>
    <col min="8975" max="8975" width="124.28515625" style="213" customWidth="1"/>
    <col min="8976" max="9216" width="10.85546875" style="213"/>
    <col min="9217" max="9217" width="4" style="213" customWidth="1"/>
    <col min="9218" max="9218" width="29.140625" style="213" customWidth="1"/>
    <col min="9219" max="9219" width="50.5703125" style="213" customWidth="1"/>
    <col min="9220" max="9220" width="17" style="213" customWidth="1"/>
    <col min="9221" max="9221" width="21.28515625" style="213" customWidth="1"/>
    <col min="9222" max="9222" width="35.5703125" style="213" customWidth="1"/>
    <col min="9223" max="9223" width="23.5703125" style="213" customWidth="1"/>
    <col min="9224" max="9224" width="17.42578125" style="213" customWidth="1"/>
    <col min="9225" max="9225" width="24.5703125" style="213" customWidth="1"/>
    <col min="9226" max="9226" width="21.85546875" style="213" customWidth="1"/>
    <col min="9227" max="9227" width="24.140625" style="213" customWidth="1"/>
    <col min="9228" max="9228" width="23.28515625" style="213" customWidth="1"/>
    <col min="9229" max="9229" width="18.85546875" style="213" customWidth="1"/>
    <col min="9230" max="9230" width="40.7109375" style="213" customWidth="1"/>
    <col min="9231" max="9231" width="124.28515625" style="213" customWidth="1"/>
    <col min="9232" max="9472" width="10.85546875" style="213"/>
    <col min="9473" max="9473" width="4" style="213" customWidth="1"/>
    <col min="9474" max="9474" width="29.140625" style="213" customWidth="1"/>
    <col min="9475" max="9475" width="50.5703125" style="213" customWidth="1"/>
    <col min="9476" max="9476" width="17" style="213" customWidth="1"/>
    <col min="9477" max="9477" width="21.28515625" style="213" customWidth="1"/>
    <col min="9478" max="9478" width="35.5703125" style="213" customWidth="1"/>
    <col min="9479" max="9479" width="23.5703125" style="213" customWidth="1"/>
    <col min="9480" max="9480" width="17.42578125" style="213" customWidth="1"/>
    <col min="9481" max="9481" width="24.5703125" style="213" customWidth="1"/>
    <col min="9482" max="9482" width="21.85546875" style="213" customWidth="1"/>
    <col min="9483" max="9483" width="24.140625" style="213" customWidth="1"/>
    <col min="9484" max="9484" width="23.28515625" style="213" customWidth="1"/>
    <col min="9485" max="9485" width="18.85546875" style="213" customWidth="1"/>
    <col min="9486" max="9486" width="40.7109375" style="213" customWidth="1"/>
    <col min="9487" max="9487" width="124.28515625" style="213" customWidth="1"/>
    <col min="9488" max="9728" width="10.85546875" style="213"/>
    <col min="9729" max="9729" width="4" style="213" customWidth="1"/>
    <col min="9730" max="9730" width="29.140625" style="213" customWidth="1"/>
    <col min="9731" max="9731" width="50.5703125" style="213" customWidth="1"/>
    <col min="9732" max="9732" width="17" style="213" customWidth="1"/>
    <col min="9733" max="9733" width="21.28515625" style="213" customWidth="1"/>
    <col min="9734" max="9734" width="35.5703125" style="213" customWidth="1"/>
    <col min="9735" max="9735" width="23.5703125" style="213" customWidth="1"/>
    <col min="9736" max="9736" width="17.42578125" style="213" customWidth="1"/>
    <col min="9737" max="9737" width="24.5703125" style="213" customWidth="1"/>
    <col min="9738" max="9738" width="21.85546875" style="213" customWidth="1"/>
    <col min="9739" max="9739" width="24.140625" style="213" customWidth="1"/>
    <col min="9740" max="9740" width="23.28515625" style="213" customWidth="1"/>
    <col min="9741" max="9741" width="18.85546875" style="213" customWidth="1"/>
    <col min="9742" max="9742" width="40.7109375" style="213" customWidth="1"/>
    <col min="9743" max="9743" width="124.28515625" style="213" customWidth="1"/>
    <col min="9744" max="9984" width="10.85546875" style="213"/>
    <col min="9985" max="9985" width="4" style="213" customWidth="1"/>
    <col min="9986" max="9986" width="29.140625" style="213" customWidth="1"/>
    <col min="9987" max="9987" width="50.5703125" style="213" customWidth="1"/>
    <col min="9988" max="9988" width="17" style="213" customWidth="1"/>
    <col min="9989" max="9989" width="21.28515625" style="213" customWidth="1"/>
    <col min="9990" max="9990" width="35.5703125" style="213" customWidth="1"/>
    <col min="9991" max="9991" width="23.5703125" style="213" customWidth="1"/>
    <col min="9992" max="9992" width="17.42578125" style="213" customWidth="1"/>
    <col min="9993" max="9993" width="24.5703125" style="213" customWidth="1"/>
    <col min="9994" max="9994" width="21.85546875" style="213" customWidth="1"/>
    <col min="9995" max="9995" width="24.140625" style="213" customWidth="1"/>
    <col min="9996" max="9996" width="23.28515625" style="213" customWidth="1"/>
    <col min="9997" max="9997" width="18.85546875" style="213" customWidth="1"/>
    <col min="9998" max="9998" width="40.7109375" style="213" customWidth="1"/>
    <col min="9999" max="9999" width="124.28515625" style="213" customWidth="1"/>
    <col min="10000" max="10240" width="10.85546875" style="213"/>
    <col min="10241" max="10241" width="4" style="213" customWidth="1"/>
    <col min="10242" max="10242" width="29.140625" style="213" customWidth="1"/>
    <col min="10243" max="10243" width="50.5703125" style="213" customWidth="1"/>
    <col min="10244" max="10244" width="17" style="213" customWidth="1"/>
    <col min="10245" max="10245" width="21.28515625" style="213" customWidth="1"/>
    <col min="10246" max="10246" width="35.5703125" style="213" customWidth="1"/>
    <col min="10247" max="10247" width="23.5703125" style="213" customWidth="1"/>
    <col min="10248" max="10248" width="17.42578125" style="213" customWidth="1"/>
    <col min="10249" max="10249" width="24.5703125" style="213" customWidth="1"/>
    <col min="10250" max="10250" width="21.85546875" style="213" customWidth="1"/>
    <col min="10251" max="10251" width="24.140625" style="213" customWidth="1"/>
    <col min="10252" max="10252" width="23.28515625" style="213" customWidth="1"/>
    <col min="10253" max="10253" width="18.85546875" style="213" customWidth="1"/>
    <col min="10254" max="10254" width="40.7109375" style="213" customWidth="1"/>
    <col min="10255" max="10255" width="124.28515625" style="213" customWidth="1"/>
    <col min="10256" max="10496" width="10.85546875" style="213"/>
    <col min="10497" max="10497" width="4" style="213" customWidth="1"/>
    <col min="10498" max="10498" width="29.140625" style="213" customWidth="1"/>
    <col min="10499" max="10499" width="50.5703125" style="213" customWidth="1"/>
    <col min="10500" max="10500" width="17" style="213" customWidth="1"/>
    <col min="10501" max="10501" width="21.28515625" style="213" customWidth="1"/>
    <col min="10502" max="10502" width="35.5703125" style="213" customWidth="1"/>
    <col min="10503" max="10503" width="23.5703125" style="213" customWidth="1"/>
    <col min="10504" max="10504" width="17.42578125" style="213" customWidth="1"/>
    <col min="10505" max="10505" width="24.5703125" style="213" customWidth="1"/>
    <col min="10506" max="10506" width="21.85546875" style="213" customWidth="1"/>
    <col min="10507" max="10507" width="24.140625" style="213" customWidth="1"/>
    <col min="10508" max="10508" width="23.28515625" style="213" customWidth="1"/>
    <col min="10509" max="10509" width="18.85546875" style="213" customWidth="1"/>
    <col min="10510" max="10510" width="40.7109375" style="213" customWidth="1"/>
    <col min="10511" max="10511" width="124.28515625" style="213" customWidth="1"/>
    <col min="10512" max="10752" width="10.85546875" style="213"/>
    <col min="10753" max="10753" width="4" style="213" customWidth="1"/>
    <col min="10754" max="10754" width="29.140625" style="213" customWidth="1"/>
    <col min="10755" max="10755" width="50.5703125" style="213" customWidth="1"/>
    <col min="10756" max="10756" width="17" style="213" customWidth="1"/>
    <col min="10757" max="10757" width="21.28515625" style="213" customWidth="1"/>
    <col min="10758" max="10758" width="35.5703125" style="213" customWidth="1"/>
    <col min="10759" max="10759" width="23.5703125" style="213" customWidth="1"/>
    <col min="10760" max="10760" width="17.42578125" style="213" customWidth="1"/>
    <col min="10761" max="10761" width="24.5703125" style="213" customWidth="1"/>
    <col min="10762" max="10762" width="21.85546875" style="213" customWidth="1"/>
    <col min="10763" max="10763" width="24.140625" style="213" customWidth="1"/>
    <col min="10764" max="10764" width="23.28515625" style="213" customWidth="1"/>
    <col min="10765" max="10765" width="18.85546875" style="213" customWidth="1"/>
    <col min="10766" max="10766" width="40.7109375" style="213" customWidth="1"/>
    <col min="10767" max="10767" width="124.28515625" style="213" customWidth="1"/>
    <col min="10768" max="11008" width="10.85546875" style="213"/>
    <col min="11009" max="11009" width="4" style="213" customWidth="1"/>
    <col min="11010" max="11010" width="29.140625" style="213" customWidth="1"/>
    <col min="11011" max="11011" width="50.5703125" style="213" customWidth="1"/>
    <col min="11012" max="11012" width="17" style="213" customWidth="1"/>
    <col min="11013" max="11013" width="21.28515625" style="213" customWidth="1"/>
    <col min="11014" max="11014" width="35.5703125" style="213" customWidth="1"/>
    <col min="11015" max="11015" width="23.5703125" style="213" customWidth="1"/>
    <col min="11016" max="11016" width="17.42578125" style="213" customWidth="1"/>
    <col min="11017" max="11017" width="24.5703125" style="213" customWidth="1"/>
    <col min="11018" max="11018" width="21.85546875" style="213" customWidth="1"/>
    <col min="11019" max="11019" width="24.140625" style="213" customWidth="1"/>
    <col min="11020" max="11020" width="23.28515625" style="213" customWidth="1"/>
    <col min="11021" max="11021" width="18.85546875" style="213" customWidth="1"/>
    <col min="11022" max="11022" width="40.7109375" style="213" customWidth="1"/>
    <col min="11023" max="11023" width="124.28515625" style="213" customWidth="1"/>
    <col min="11024" max="11264" width="10.85546875" style="213"/>
    <col min="11265" max="11265" width="4" style="213" customWidth="1"/>
    <col min="11266" max="11266" width="29.140625" style="213" customWidth="1"/>
    <col min="11267" max="11267" width="50.5703125" style="213" customWidth="1"/>
    <col min="11268" max="11268" width="17" style="213" customWidth="1"/>
    <col min="11269" max="11269" width="21.28515625" style="213" customWidth="1"/>
    <col min="11270" max="11270" width="35.5703125" style="213" customWidth="1"/>
    <col min="11271" max="11271" width="23.5703125" style="213" customWidth="1"/>
    <col min="11272" max="11272" width="17.42578125" style="213" customWidth="1"/>
    <col min="11273" max="11273" width="24.5703125" style="213" customWidth="1"/>
    <col min="11274" max="11274" width="21.85546875" style="213" customWidth="1"/>
    <col min="11275" max="11275" width="24.140625" style="213" customWidth="1"/>
    <col min="11276" max="11276" width="23.28515625" style="213" customWidth="1"/>
    <col min="11277" max="11277" width="18.85546875" style="213" customWidth="1"/>
    <col min="11278" max="11278" width="40.7109375" style="213" customWidth="1"/>
    <col min="11279" max="11279" width="124.28515625" style="213" customWidth="1"/>
    <col min="11280" max="11520" width="10.85546875" style="213"/>
    <col min="11521" max="11521" width="4" style="213" customWidth="1"/>
    <col min="11522" max="11522" width="29.140625" style="213" customWidth="1"/>
    <col min="11523" max="11523" width="50.5703125" style="213" customWidth="1"/>
    <col min="11524" max="11524" width="17" style="213" customWidth="1"/>
    <col min="11525" max="11525" width="21.28515625" style="213" customWidth="1"/>
    <col min="11526" max="11526" width="35.5703125" style="213" customWidth="1"/>
    <col min="11527" max="11527" width="23.5703125" style="213" customWidth="1"/>
    <col min="11528" max="11528" width="17.42578125" style="213" customWidth="1"/>
    <col min="11529" max="11529" width="24.5703125" style="213" customWidth="1"/>
    <col min="11530" max="11530" width="21.85546875" style="213" customWidth="1"/>
    <col min="11531" max="11531" width="24.140625" style="213" customWidth="1"/>
    <col min="11532" max="11532" width="23.28515625" style="213" customWidth="1"/>
    <col min="11533" max="11533" width="18.85546875" style="213" customWidth="1"/>
    <col min="11534" max="11534" width="40.7109375" style="213" customWidth="1"/>
    <col min="11535" max="11535" width="124.28515625" style="213" customWidth="1"/>
    <col min="11536" max="11776" width="10.85546875" style="213"/>
    <col min="11777" max="11777" width="4" style="213" customWidth="1"/>
    <col min="11778" max="11778" width="29.140625" style="213" customWidth="1"/>
    <col min="11779" max="11779" width="50.5703125" style="213" customWidth="1"/>
    <col min="11780" max="11780" width="17" style="213" customWidth="1"/>
    <col min="11781" max="11781" width="21.28515625" style="213" customWidth="1"/>
    <col min="11782" max="11782" width="35.5703125" style="213" customWidth="1"/>
    <col min="11783" max="11783" width="23.5703125" style="213" customWidth="1"/>
    <col min="11784" max="11784" width="17.42578125" style="213" customWidth="1"/>
    <col min="11785" max="11785" width="24.5703125" style="213" customWidth="1"/>
    <col min="11786" max="11786" width="21.85546875" style="213" customWidth="1"/>
    <col min="11787" max="11787" width="24.140625" style="213" customWidth="1"/>
    <col min="11788" max="11788" width="23.28515625" style="213" customWidth="1"/>
    <col min="11789" max="11789" width="18.85546875" style="213" customWidth="1"/>
    <col min="11790" max="11790" width="40.7109375" style="213" customWidth="1"/>
    <col min="11791" max="11791" width="124.28515625" style="213" customWidth="1"/>
    <col min="11792" max="12032" width="10.85546875" style="213"/>
    <col min="12033" max="12033" width="4" style="213" customWidth="1"/>
    <col min="12034" max="12034" width="29.140625" style="213" customWidth="1"/>
    <col min="12035" max="12035" width="50.5703125" style="213" customWidth="1"/>
    <col min="12036" max="12036" width="17" style="213" customWidth="1"/>
    <col min="12037" max="12037" width="21.28515625" style="213" customWidth="1"/>
    <col min="12038" max="12038" width="35.5703125" style="213" customWidth="1"/>
    <col min="12039" max="12039" width="23.5703125" style="213" customWidth="1"/>
    <col min="12040" max="12040" width="17.42578125" style="213" customWidth="1"/>
    <col min="12041" max="12041" width="24.5703125" style="213" customWidth="1"/>
    <col min="12042" max="12042" width="21.85546875" style="213" customWidth="1"/>
    <col min="12043" max="12043" width="24.140625" style="213" customWidth="1"/>
    <col min="12044" max="12044" width="23.28515625" style="213" customWidth="1"/>
    <col min="12045" max="12045" width="18.85546875" style="213" customWidth="1"/>
    <col min="12046" max="12046" width="40.7109375" style="213" customWidth="1"/>
    <col min="12047" max="12047" width="124.28515625" style="213" customWidth="1"/>
    <col min="12048" max="12288" width="10.85546875" style="213"/>
    <col min="12289" max="12289" width="4" style="213" customWidth="1"/>
    <col min="12290" max="12290" width="29.140625" style="213" customWidth="1"/>
    <col min="12291" max="12291" width="50.5703125" style="213" customWidth="1"/>
    <col min="12292" max="12292" width="17" style="213" customWidth="1"/>
    <col min="12293" max="12293" width="21.28515625" style="213" customWidth="1"/>
    <col min="12294" max="12294" width="35.5703125" style="213" customWidth="1"/>
    <col min="12295" max="12295" width="23.5703125" style="213" customWidth="1"/>
    <col min="12296" max="12296" width="17.42578125" style="213" customWidth="1"/>
    <col min="12297" max="12297" width="24.5703125" style="213" customWidth="1"/>
    <col min="12298" max="12298" width="21.85546875" style="213" customWidth="1"/>
    <col min="12299" max="12299" width="24.140625" style="213" customWidth="1"/>
    <col min="12300" max="12300" width="23.28515625" style="213" customWidth="1"/>
    <col min="12301" max="12301" width="18.85546875" style="213" customWidth="1"/>
    <col min="12302" max="12302" width="40.7109375" style="213" customWidth="1"/>
    <col min="12303" max="12303" width="124.28515625" style="213" customWidth="1"/>
    <col min="12304" max="12544" width="10.85546875" style="213"/>
    <col min="12545" max="12545" width="4" style="213" customWidth="1"/>
    <col min="12546" max="12546" width="29.140625" style="213" customWidth="1"/>
    <col min="12547" max="12547" width="50.5703125" style="213" customWidth="1"/>
    <col min="12548" max="12548" width="17" style="213" customWidth="1"/>
    <col min="12549" max="12549" width="21.28515625" style="213" customWidth="1"/>
    <col min="12550" max="12550" width="35.5703125" style="213" customWidth="1"/>
    <col min="12551" max="12551" width="23.5703125" style="213" customWidth="1"/>
    <col min="12552" max="12552" width="17.42578125" style="213" customWidth="1"/>
    <col min="12553" max="12553" width="24.5703125" style="213" customWidth="1"/>
    <col min="12554" max="12554" width="21.85546875" style="213" customWidth="1"/>
    <col min="12555" max="12555" width="24.140625" style="213" customWidth="1"/>
    <col min="12556" max="12556" width="23.28515625" style="213" customWidth="1"/>
    <col min="12557" max="12557" width="18.85546875" style="213" customWidth="1"/>
    <col min="12558" max="12558" width="40.7109375" style="213" customWidth="1"/>
    <col min="12559" max="12559" width="124.28515625" style="213" customWidth="1"/>
    <col min="12560" max="12800" width="10.85546875" style="213"/>
    <col min="12801" max="12801" width="4" style="213" customWidth="1"/>
    <col min="12802" max="12802" width="29.140625" style="213" customWidth="1"/>
    <col min="12803" max="12803" width="50.5703125" style="213" customWidth="1"/>
    <col min="12804" max="12804" width="17" style="213" customWidth="1"/>
    <col min="12805" max="12805" width="21.28515625" style="213" customWidth="1"/>
    <col min="12806" max="12806" width="35.5703125" style="213" customWidth="1"/>
    <col min="12807" max="12807" width="23.5703125" style="213" customWidth="1"/>
    <col min="12808" max="12808" width="17.42578125" style="213" customWidth="1"/>
    <col min="12809" max="12809" width="24.5703125" style="213" customWidth="1"/>
    <col min="12810" max="12810" width="21.85546875" style="213" customWidth="1"/>
    <col min="12811" max="12811" width="24.140625" style="213" customWidth="1"/>
    <col min="12812" max="12812" width="23.28515625" style="213" customWidth="1"/>
    <col min="12813" max="12813" width="18.85546875" style="213" customWidth="1"/>
    <col min="12814" max="12814" width="40.7109375" style="213" customWidth="1"/>
    <col min="12815" max="12815" width="124.28515625" style="213" customWidth="1"/>
    <col min="12816" max="13056" width="10.85546875" style="213"/>
    <col min="13057" max="13057" width="4" style="213" customWidth="1"/>
    <col min="13058" max="13058" width="29.140625" style="213" customWidth="1"/>
    <col min="13059" max="13059" width="50.5703125" style="213" customWidth="1"/>
    <col min="13060" max="13060" width="17" style="213" customWidth="1"/>
    <col min="13061" max="13061" width="21.28515625" style="213" customWidth="1"/>
    <col min="13062" max="13062" width="35.5703125" style="213" customWidth="1"/>
    <col min="13063" max="13063" width="23.5703125" style="213" customWidth="1"/>
    <col min="13064" max="13064" width="17.42578125" style="213" customWidth="1"/>
    <col min="13065" max="13065" width="24.5703125" style="213" customWidth="1"/>
    <col min="13066" max="13066" width="21.85546875" style="213" customWidth="1"/>
    <col min="13067" max="13067" width="24.140625" style="213" customWidth="1"/>
    <col min="13068" max="13068" width="23.28515625" style="213" customWidth="1"/>
    <col min="13069" max="13069" width="18.85546875" style="213" customWidth="1"/>
    <col min="13070" max="13070" width="40.7109375" style="213" customWidth="1"/>
    <col min="13071" max="13071" width="124.28515625" style="213" customWidth="1"/>
    <col min="13072" max="13312" width="10.85546875" style="213"/>
    <col min="13313" max="13313" width="4" style="213" customWidth="1"/>
    <col min="13314" max="13314" width="29.140625" style="213" customWidth="1"/>
    <col min="13315" max="13315" width="50.5703125" style="213" customWidth="1"/>
    <col min="13316" max="13316" width="17" style="213" customWidth="1"/>
    <col min="13317" max="13317" width="21.28515625" style="213" customWidth="1"/>
    <col min="13318" max="13318" width="35.5703125" style="213" customWidth="1"/>
    <col min="13319" max="13319" width="23.5703125" style="213" customWidth="1"/>
    <col min="13320" max="13320" width="17.42578125" style="213" customWidth="1"/>
    <col min="13321" max="13321" width="24.5703125" style="213" customWidth="1"/>
    <col min="13322" max="13322" width="21.85546875" style="213" customWidth="1"/>
    <col min="13323" max="13323" width="24.140625" style="213" customWidth="1"/>
    <col min="13324" max="13324" width="23.28515625" style="213" customWidth="1"/>
    <col min="13325" max="13325" width="18.85546875" style="213" customWidth="1"/>
    <col min="13326" max="13326" width="40.7109375" style="213" customWidth="1"/>
    <col min="13327" max="13327" width="124.28515625" style="213" customWidth="1"/>
    <col min="13328" max="13568" width="10.85546875" style="213"/>
    <col min="13569" max="13569" width="4" style="213" customWidth="1"/>
    <col min="13570" max="13570" width="29.140625" style="213" customWidth="1"/>
    <col min="13571" max="13571" width="50.5703125" style="213" customWidth="1"/>
    <col min="13572" max="13572" width="17" style="213" customWidth="1"/>
    <col min="13573" max="13573" width="21.28515625" style="213" customWidth="1"/>
    <col min="13574" max="13574" width="35.5703125" style="213" customWidth="1"/>
    <col min="13575" max="13575" width="23.5703125" style="213" customWidth="1"/>
    <col min="13576" max="13576" width="17.42578125" style="213" customWidth="1"/>
    <col min="13577" max="13577" width="24.5703125" style="213" customWidth="1"/>
    <col min="13578" max="13578" width="21.85546875" style="213" customWidth="1"/>
    <col min="13579" max="13579" width="24.140625" style="213" customWidth="1"/>
    <col min="13580" max="13580" width="23.28515625" style="213" customWidth="1"/>
    <col min="13581" max="13581" width="18.85546875" style="213" customWidth="1"/>
    <col min="13582" max="13582" width="40.7109375" style="213" customWidth="1"/>
    <col min="13583" max="13583" width="124.28515625" style="213" customWidth="1"/>
    <col min="13584" max="13824" width="10.85546875" style="213"/>
    <col min="13825" max="13825" width="4" style="213" customWidth="1"/>
    <col min="13826" max="13826" width="29.140625" style="213" customWidth="1"/>
    <col min="13827" max="13827" width="50.5703125" style="213" customWidth="1"/>
    <col min="13828" max="13828" width="17" style="213" customWidth="1"/>
    <col min="13829" max="13829" width="21.28515625" style="213" customWidth="1"/>
    <col min="13830" max="13830" width="35.5703125" style="213" customWidth="1"/>
    <col min="13831" max="13831" width="23.5703125" style="213" customWidth="1"/>
    <col min="13832" max="13832" width="17.42578125" style="213" customWidth="1"/>
    <col min="13833" max="13833" width="24.5703125" style="213" customWidth="1"/>
    <col min="13834" max="13834" width="21.85546875" style="213" customWidth="1"/>
    <col min="13835" max="13835" width="24.140625" style="213" customWidth="1"/>
    <col min="13836" max="13836" width="23.28515625" style="213" customWidth="1"/>
    <col min="13837" max="13837" width="18.85546875" style="213" customWidth="1"/>
    <col min="13838" max="13838" width="40.7109375" style="213" customWidth="1"/>
    <col min="13839" max="13839" width="124.28515625" style="213" customWidth="1"/>
    <col min="13840" max="14080" width="10.85546875" style="213"/>
    <col min="14081" max="14081" width="4" style="213" customWidth="1"/>
    <col min="14082" max="14082" width="29.140625" style="213" customWidth="1"/>
    <col min="14083" max="14083" width="50.5703125" style="213" customWidth="1"/>
    <col min="14084" max="14084" width="17" style="213" customWidth="1"/>
    <col min="14085" max="14085" width="21.28515625" style="213" customWidth="1"/>
    <col min="14086" max="14086" width="35.5703125" style="213" customWidth="1"/>
    <col min="14087" max="14087" width="23.5703125" style="213" customWidth="1"/>
    <col min="14088" max="14088" width="17.42578125" style="213" customWidth="1"/>
    <col min="14089" max="14089" width="24.5703125" style="213" customWidth="1"/>
    <col min="14090" max="14090" width="21.85546875" style="213" customWidth="1"/>
    <col min="14091" max="14091" width="24.140625" style="213" customWidth="1"/>
    <col min="14092" max="14092" width="23.28515625" style="213" customWidth="1"/>
    <col min="14093" max="14093" width="18.85546875" style="213" customWidth="1"/>
    <col min="14094" max="14094" width="40.7109375" style="213" customWidth="1"/>
    <col min="14095" max="14095" width="124.28515625" style="213" customWidth="1"/>
    <col min="14096" max="14336" width="10.85546875" style="213"/>
    <col min="14337" max="14337" width="4" style="213" customWidth="1"/>
    <col min="14338" max="14338" width="29.140625" style="213" customWidth="1"/>
    <col min="14339" max="14339" width="50.5703125" style="213" customWidth="1"/>
    <col min="14340" max="14340" width="17" style="213" customWidth="1"/>
    <col min="14341" max="14341" width="21.28515625" style="213" customWidth="1"/>
    <col min="14342" max="14342" width="35.5703125" style="213" customWidth="1"/>
    <col min="14343" max="14343" width="23.5703125" style="213" customWidth="1"/>
    <col min="14344" max="14344" width="17.42578125" style="213" customWidth="1"/>
    <col min="14345" max="14345" width="24.5703125" style="213" customWidth="1"/>
    <col min="14346" max="14346" width="21.85546875" style="213" customWidth="1"/>
    <col min="14347" max="14347" width="24.140625" style="213" customWidth="1"/>
    <col min="14348" max="14348" width="23.28515625" style="213" customWidth="1"/>
    <col min="14349" max="14349" width="18.85546875" style="213" customWidth="1"/>
    <col min="14350" max="14350" width="40.7109375" style="213" customWidth="1"/>
    <col min="14351" max="14351" width="124.28515625" style="213" customWidth="1"/>
    <col min="14352" max="14592" width="10.85546875" style="213"/>
    <col min="14593" max="14593" width="4" style="213" customWidth="1"/>
    <col min="14594" max="14594" width="29.140625" style="213" customWidth="1"/>
    <col min="14595" max="14595" width="50.5703125" style="213" customWidth="1"/>
    <col min="14596" max="14596" width="17" style="213" customWidth="1"/>
    <col min="14597" max="14597" width="21.28515625" style="213" customWidth="1"/>
    <col min="14598" max="14598" width="35.5703125" style="213" customWidth="1"/>
    <col min="14599" max="14599" width="23.5703125" style="213" customWidth="1"/>
    <col min="14600" max="14600" width="17.42578125" style="213" customWidth="1"/>
    <col min="14601" max="14601" width="24.5703125" style="213" customWidth="1"/>
    <col min="14602" max="14602" width="21.85546875" style="213" customWidth="1"/>
    <col min="14603" max="14603" width="24.140625" style="213" customWidth="1"/>
    <col min="14604" max="14604" width="23.28515625" style="213" customWidth="1"/>
    <col min="14605" max="14605" width="18.85546875" style="213" customWidth="1"/>
    <col min="14606" max="14606" width="40.7109375" style="213" customWidth="1"/>
    <col min="14607" max="14607" width="124.28515625" style="213" customWidth="1"/>
    <col min="14608" max="14848" width="10.85546875" style="213"/>
    <col min="14849" max="14849" width="4" style="213" customWidth="1"/>
    <col min="14850" max="14850" width="29.140625" style="213" customWidth="1"/>
    <col min="14851" max="14851" width="50.5703125" style="213" customWidth="1"/>
    <col min="14852" max="14852" width="17" style="213" customWidth="1"/>
    <col min="14853" max="14853" width="21.28515625" style="213" customWidth="1"/>
    <col min="14854" max="14854" width="35.5703125" style="213" customWidth="1"/>
    <col min="14855" max="14855" width="23.5703125" style="213" customWidth="1"/>
    <col min="14856" max="14856" width="17.42578125" style="213" customWidth="1"/>
    <col min="14857" max="14857" width="24.5703125" style="213" customWidth="1"/>
    <col min="14858" max="14858" width="21.85546875" style="213" customWidth="1"/>
    <col min="14859" max="14859" width="24.140625" style="213" customWidth="1"/>
    <col min="14860" max="14860" width="23.28515625" style="213" customWidth="1"/>
    <col min="14861" max="14861" width="18.85546875" style="213" customWidth="1"/>
    <col min="14862" max="14862" width="40.7109375" style="213" customWidth="1"/>
    <col min="14863" max="14863" width="124.28515625" style="213" customWidth="1"/>
    <col min="14864" max="15104" width="10.85546875" style="213"/>
    <col min="15105" max="15105" width="4" style="213" customWidth="1"/>
    <col min="15106" max="15106" width="29.140625" style="213" customWidth="1"/>
    <col min="15107" max="15107" width="50.5703125" style="213" customWidth="1"/>
    <col min="15108" max="15108" width="17" style="213" customWidth="1"/>
    <col min="15109" max="15109" width="21.28515625" style="213" customWidth="1"/>
    <col min="15110" max="15110" width="35.5703125" style="213" customWidth="1"/>
    <col min="15111" max="15111" width="23.5703125" style="213" customWidth="1"/>
    <col min="15112" max="15112" width="17.42578125" style="213" customWidth="1"/>
    <col min="15113" max="15113" width="24.5703125" style="213" customWidth="1"/>
    <col min="15114" max="15114" width="21.85546875" style="213" customWidth="1"/>
    <col min="15115" max="15115" width="24.140625" style="213" customWidth="1"/>
    <col min="15116" max="15116" width="23.28515625" style="213" customWidth="1"/>
    <col min="15117" max="15117" width="18.85546875" style="213" customWidth="1"/>
    <col min="15118" max="15118" width="40.7109375" style="213" customWidth="1"/>
    <col min="15119" max="15119" width="124.28515625" style="213" customWidth="1"/>
    <col min="15120" max="15360" width="10.85546875" style="213"/>
    <col min="15361" max="15361" width="4" style="213" customWidth="1"/>
    <col min="15362" max="15362" width="29.140625" style="213" customWidth="1"/>
    <col min="15363" max="15363" width="50.5703125" style="213" customWidth="1"/>
    <col min="15364" max="15364" width="17" style="213" customWidth="1"/>
    <col min="15365" max="15365" width="21.28515625" style="213" customWidth="1"/>
    <col min="15366" max="15366" width="35.5703125" style="213" customWidth="1"/>
    <col min="15367" max="15367" width="23.5703125" style="213" customWidth="1"/>
    <col min="15368" max="15368" width="17.42578125" style="213" customWidth="1"/>
    <col min="15369" max="15369" width="24.5703125" style="213" customWidth="1"/>
    <col min="15370" max="15370" width="21.85546875" style="213" customWidth="1"/>
    <col min="15371" max="15371" width="24.140625" style="213" customWidth="1"/>
    <col min="15372" max="15372" width="23.28515625" style="213" customWidth="1"/>
    <col min="15373" max="15373" width="18.85546875" style="213" customWidth="1"/>
    <col min="15374" max="15374" width="40.7109375" style="213" customWidth="1"/>
    <col min="15375" max="15375" width="124.28515625" style="213" customWidth="1"/>
    <col min="15376" max="15616" width="10.85546875" style="213"/>
    <col min="15617" max="15617" width="4" style="213" customWidth="1"/>
    <col min="15618" max="15618" width="29.140625" style="213" customWidth="1"/>
    <col min="15619" max="15619" width="50.5703125" style="213" customWidth="1"/>
    <col min="15620" max="15620" width="17" style="213" customWidth="1"/>
    <col min="15621" max="15621" width="21.28515625" style="213" customWidth="1"/>
    <col min="15622" max="15622" width="35.5703125" style="213" customWidth="1"/>
    <col min="15623" max="15623" width="23.5703125" style="213" customWidth="1"/>
    <col min="15624" max="15624" width="17.42578125" style="213" customWidth="1"/>
    <col min="15625" max="15625" width="24.5703125" style="213" customWidth="1"/>
    <col min="15626" max="15626" width="21.85546875" style="213" customWidth="1"/>
    <col min="15627" max="15627" width="24.140625" style="213" customWidth="1"/>
    <col min="15628" max="15628" width="23.28515625" style="213" customWidth="1"/>
    <col min="15629" max="15629" width="18.85546875" style="213" customWidth="1"/>
    <col min="15630" max="15630" width="40.7109375" style="213" customWidth="1"/>
    <col min="15631" max="15631" width="124.28515625" style="213" customWidth="1"/>
    <col min="15632" max="15872" width="10.85546875" style="213"/>
    <col min="15873" max="15873" width="4" style="213" customWidth="1"/>
    <col min="15874" max="15874" width="29.140625" style="213" customWidth="1"/>
    <col min="15875" max="15875" width="50.5703125" style="213" customWidth="1"/>
    <col min="15876" max="15876" width="17" style="213" customWidth="1"/>
    <col min="15877" max="15877" width="21.28515625" style="213" customWidth="1"/>
    <col min="15878" max="15878" width="35.5703125" style="213" customWidth="1"/>
    <col min="15879" max="15879" width="23.5703125" style="213" customWidth="1"/>
    <col min="15880" max="15880" width="17.42578125" style="213" customWidth="1"/>
    <col min="15881" max="15881" width="24.5703125" style="213" customWidth="1"/>
    <col min="15882" max="15882" width="21.85546875" style="213" customWidth="1"/>
    <col min="15883" max="15883" width="24.140625" style="213" customWidth="1"/>
    <col min="15884" max="15884" width="23.28515625" style="213" customWidth="1"/>
    <col min="15885" max="15885" width="18.85546875" style="213" customWidth="1"/>
    <col min="15886" max="15886" width="40.7109375" style="213" customWidth="1"/>
    <col min="15887" max="15887" width="124.28515625" style="213" customWidth="1"/>
    <col min="15888" max="16128" width="10.85546875" style="213"/>
    <col min="16129" max="16129" width="4" style="213" customWidth="1"/>
    <col min="16130" max="16130" width="29.140625" style="213" customWidth="1"/>
    <col min="16131" max="16131" width="50.5703125" style="213" customWidth="1"/>
    <col min="16132" max="16132" width="17" style="213" customWidth="1"/>
    <col min="16133" max="16133" width="21.28515625" style="213" customWidth="1"/>
    <col min="16134" max="16134" width="35.5703125" style="213" customWidth="1"/>
    <col min="16135" max="16135" width="23.5703125" style="213" customWidth="1"/>
    <col min="16136" max="16136" width="17.42578125" style="213" customWidth="1"/>
    <col min="16137" max="16137" width="24.5703125" style="213" customWidth="1"/>
    <col min="16138" max="16138" width="21.85546875" style="213" customWidth="1"/>
    <col min="16139" max="16139" width="24.140625" style="213" customWidth="1"/>
    <col min="16140" max="16140" width="23.28515625" style="213" customWidth="1"/>
    <col min="16141" max="16141" width="18.85546875" style="213" customWidth="1"/>
    <col min="16142" max="16142" width="40.7109375" style="213" customWidth="1"/>
    <col min="16143" max="16143" width="124.28515625" style="213" customWidth="1"/>
    <col min="16144" max="16384" width="10.85546875" style="213"/>
  </cols>
  <sheetData>
    <row r="1" spans="2:14" s="213" customFormat="1" ht="50.1" customHeight="1" thickBot="1" x14ac:dyDescent="0.3">
      <c r="B1" s="249" t="s">
        <v>25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1"/>
    </row>
    <row r="2" spans="2:14" s="213" customFormat="1" ht="12.75" customHeight="1" x14ac:dyDescent="0.25">
      <c r="B2" s="252"/>
      <c r="C2" s="196"/>
      <c r="D2" s="209"/>
      <c r="E2" s="203"/>
      <c r="F2" s="203"/>
      <c r="G2" s="203"/>
      <c r="H2" s="215"/>
      <c r="I2" s="200"/>
      <c r="J2" s="200"/>
      <c r="K2" s="209"/>
      <c r="L2" s="203"/>
      <c r="M2" s="196"/>
      <c r="N2" s="212"/>
    </row>
    <row r="3" spans="2:14" s="213" customFormat="1" ht="26.25" customHeight="1" thickBot="1" x14ac:dyDescent="0.3">
      <c r="B3" s="253" t="s">
        <v>26</v>
      </c>
      <c r="C3" s="254"/>
      <c r="D3" s="209"/>
      <c r="E3" s="203"/>
      <c r="F3" s="203"/>
      <c r="G3" s="203"/>
      <c r="H3" s="215"/>
      <c r="I3" s="200"/>
      <c r="J3" s="200"/>
      <c r="K3" s="209"/>
      <c r="L3" s="203"/>
      <c r="M3" s="196"/>
      <c r="N3" s="212"/>
    </row>
    <row r="4" spans="2:14" s="213" customFormat="1" ht="30" customHeight="1" x14ac:dyDescent="0.25">
      <c r="B4" s="216" t="s">
        <v>27</v>
      </c>
      <c r="C4" s="217" t="s">
        <v>28</v>
      </c>
      <c r="D4" s="209"/>
      <c r="E4" s="203"/>
      <c r="F4" s="220" t="s">
        <v>29</v>
      </c>
      <c r="G4" s="221"/>
      <c r="H4" s="221"/>
      <c r="I4" s="222"/>
      <c r="J4" s="204"/>
      <c r="K4" s="209"/>
      <c r="L4" s="203"/>
      <c r="M4" s="196"/>
      <c r="N4" s="212"/>
    </row>
    <row r="5" spans="2:14" s="213" customFormat="1" ht="15" customHeight="1" x14ac:dyDescent="0.25">
      <c r="B5" s="214" t="s">
        <v>30</v>
      </c>
      <c r="C5" s="193" t="s">
        <v>31</v>
      </c>
      <c r="D5" s="209"/>
      <c r="E5" s="203"/>
      <c r="F5" s="223"/>
      <c r="G5" s="224"/>
      <c r="H5" s="224"/>
      <c r="I5" s="225"/>
      <c r="J5" s="204"/>
      <c r="K5" s="209"/>
      <c r="L5" s="203"/>
      <c r="M5" s="196"/>
      <c r="N5" s="212"/>
    </row>
    <row r="6" spans="2:14" s="213" customFormat="1" ht="18.75" customHeight="1" x14ac:dyDescent="0.25">
      <c r="B6" s="214" t="s">
        <v>32</v>
      </c>
      <c r="C6" s="218" t="s">
        <v>33</v>
      </c>
      <c r="D6" s="209"/>
      <c r="E6" s="203"/>
      <c r="F6" s="223"/>
      <c r="G6" s="224"/>
      <c r="H6" s="224"/>
      <c r="I6" s="225"/>
      <c r="J6" s="204"/>
      <c r="K6" s="209"/>
      <c r="L6" s="203"/>
      <c r="M6" s="196"/>
      <c r="N6" s="212"/>
    </row>
    <row r="7" spans="2:14" s="213" customFormat="1" ht="21" customHeight="1" x14ac:dyDescent="0.25">
      <c r="B7" s="214" t="s">
        <v>34</v>
      </c>
      <c r="C7" s="219" t="s">
        <v>35</v>
      </c>
      <c r="D7" s="209"/>
      <c r="E7" s="203"/>
      <c r="F7" s="223"/>
      <c r="G7" s="224"/>
      <c r="H7" s="224"/>
      <c r="I7" s="225"/>
      <c r="J7" s="204"/>
      <c r="K7" s="209"/>
      <c r="L7" s="203"/>
      <c r="M7" s="196"/>
      <c r="N7" s="212"/>
    </row>
    <row r="8" spans="2:14" s="213" customFormat="1" ht="243.75" customHeight="1" x14ac:dyDescent="0.25">
      <c r="B8" s="210" t="s">
        <v>582</v>
      </c>
      <c r="C8" s="211" t="s">
        <v>36</v>
      </c>
      <c r="D8" s="209"/>
      <c r="E8" s="203"/>
      <c r="F8" s="226"/>
      <c r="G8" s="227"/>
      <c r="H8" s="227"/>
      <c r="I8" s="228"/>
      <c r="J8" s="204"/>
      <c r="K8" s="209"/>
      <c r="L8" s="203"/>
      <c r="M8" s="196"/>
      <c r="N8" s="212"/>
    </row>
    <row r="9" spans="2:14" s="213" customFormat="1" ht="138.75" customHeight="1" x14ac:dyDescent="0.25">
      <c r="B9" s="210" t="s">
        <v>583</v>
      </c>
      <c r="C9" s="211" t="s">
        <v>37</v>
      </c>
      <c r="D9" s="209"/>
      <c r="E9" s="203"/>
      <c r="F9" s="203"/>
      <c r="G9" s="203"/>
      <c r="H9" s="203"/>
      <c r="I9" s="204"/>
      <c r="J9" s="204"/>
      <c r="K9" s="209"/>
      <c r="L9" s="203"/>
      <c r="M9" s="196"/>
      <c r="N9" s="212"/>
    </row>
    <row r="10" spans="2:14" s="213" customFormat="1" ht="35.25" customHeight="1" x14ac:dyDescent="0.25">
      <c r="B10" s="214" t="s">
        <v>38</v>
      </c>
      <c r="C10" s="193"/>
      <c r="D10" s="209"/>
      <c r="E10" s="203"/>
      <c r="F10" s="203"/>
      <c r="G10" s="203"/>
      <c r="H10" s="215"/>
      <c r="I10" s="200"/>
      <c r="J10" s="200"/>
      <c r="K10" s="209"/>
      <c r="L10" s="203"/>
      <c r="M10" s="196"/>
      <c r="N10" s="212"/>
    </row>
    <row r="11" spans="2:14" s="213" customFormat="1" ht="39" customHeight="1" x14ac:dyDescent="0.25">
      <c r="B11" s="214" t="s">
        <v>39</v>
      </c>
      <c r="C11" s="193" t="s">
        <v>40</v>
      </c>
      <c r="D11" s="209"/>
      <c r="E11" s="203"/>
      <c r="F11" s="220" t="s">
        <v>41</v>
      </c>
      <c r="G11" s="221"/>
      <c r="H11" s="221"/>
      <c r="I11" s="222"/>
      <c r="J11" s="204"/>
      <c r="K11" s="209"/>
      <c r="L11" s="203"/>
      <c r="M11" s="196"/>
      <c r="N11" s="212"/>
    </row>
    <row r="12" spans="2:14" s="213" customFormat="1" ht="27" customHeight="1" x14ac:dyDescent="0.25">
      <c r="B12" s="214" t="s">
        <v>42</v>
      </c>
      <c r="C12" s="205" t="s">
        <v>43</v>
      </c>
      <c r="D12" s="209"/>
      <c r="E12" s="203"/>
      <c r="F12" s="223"/>
      <c r="G12" s="224"/>
      <c r="H12" s="224"/>
      <c r="I12" s="225"/>
      <c r="J12" s="204"/>
      <c r="K12" s="209"/>
      <c r="L12" s="203"/>
      <c r="M12" s="196"/>
      <c r="N12" s="212"/>
    </row>
    <row r="13" spans="2:14" s="213" customFormat="1" ht="27" customHeight="1" x14ac:dyDescent="0.25">
      <c r="B13" s="214" t="s">
        <v>44</v>
      </c>
      <c r="C13" s="206">
        <v>5211258593</v>
      </c>
      <c r="D13" s="255"/>
      <c r="E13" s="203"/>
      <c r="F13" s="223"/>
      <c r="G13" s="224"/>
      <c r="H13" s="224"/>
      <c r="I13" s="225"/>
      <c r="J13" s="204"/>
      <c r="K13" s="209"/>
      <c r="L13" s="203"/>
      <c r="M13" s="196"/>
      <c r="N13" s="212"/>
    </row>
    <row r="14" spans="2:14" s="213" customFormat="1" ht="30" customHeight="1" x14ac:dyDescent="0.25">
      <c r="B14" s="214" t="s">
        <v>45</v>
      </c>
      <c r="C14" s="207">
        <f>+[1]Hoja2!K18</f>
        <v>193047400</v>
      </c>
      <c r="D14" s="209"/>
      <c r="E14" s="203"/>
      <c r="F14" s="223"/>
      <c r="G14" s="224"/>
      <c r="H14" s="224"/>
      <c r="I14" s="225"/>
      <c r="J14" s="204"/>
      <c r="K14" s="209"/>
      <c r="L14" s="203"/>
      <c r="M14" s="196"/>
      <c r="N14" s="212"/>
    </row>
    <row r="15" spans="2:14" s="213" customFormat="1" ht="29.25" customHeight="1" x14ac:dyDescent="0.25">
      <c r="B15" s="214" t="s">
        <v>46</v>
      </c>
      <c r="C15" s="207">
        <f>+[1]Hoja2!K20</f>
        <v>19304740</v>
      </c>
      <c r="D15" s="209"/>
      <c r="E15" s="203"/>
      <c r="F15" s="223"/>
      <c r="G15" s="224"/>
      <c r="H15" s="224"/>
      <c r="I15" s="225"/>
      <c r="J15" s="204"/>
      <c r="K15" s="209"/>
      <c r="L15" s="203"/>
      <c r="M15" s="196"/>
      <c r="N15" s="212"/>
    </row>
    <row r="16" spans="2:14" s="213" customFormat="1" ht="33" customHeight="1" thickBot="1" x14ac:dyDescent="0.3">
      <c r="B16" s="256" t="s">
        <v>47</v>
      </c>
      <c r="C16" s="208" t="s">
        <v>571</v>
      </c>
      <c r="D16" s="209"/>
      <c r="E16" s="203"/>
      <c r="F16" s="226"/>
      <c r="G16" s="227"/>
      <c r="H16" s="227"/>
      <c r="I16" s="228"/>
      <c r="J16" s="204"/>
      <c r="K16" s="209"/>
      <c r="L16" s="203"/>
      <c r="M16" s="196"/>
      <c r="N16" s="212"/>
    </row>
    <row r="17" spans="2:15" s="213" customFormat="1" ht="16.5" customHeight="1" x14ac:dyDescent="0.25">
      <c r="B17" s="257"/>
      <c r="C17" s="196"/>
      <c r="D17" s="209"/>
      <c r="E17" s="203"/>
      <c r="F17" s="203"/>
      <c r="G17" s="203"/>
      <c r="H17" s="215"/>
      <c r="I17" s="200"/>
      <c r="J17" s="200"/>
      <c r="K17" s="258"/>
      <c r="L17" s="203"/>
      <c r="M17" s="196"/>
      <c r="N17" s="212"/>
    </row>
    <row r="18" spans="2:15" s="213" customFormat="1" ht="28.5" customHeight="1" thickBot="1" x14ac:dyDescent="0.3">
      <c r="B18" s="253" t="s">
        <v>48</v>
      </c>
      <c r="C18" s="254"/>
      <c r="D18" s="209"/>
      <c r="E18" s="203"/>
      <c r="F18" s="203"/>
      <c r="G18" s="203"/>
      <c r="H18" s="215"/>
      <c r="I18" s="200"/>
      <c r="J18" s="200"/>
      <c r="K18" s="209"/>
      <c r="L18" s="203"/>
      <c r="M18" s="196"/>
      <c r="N18" s="212"/>
    </row>
    <row r="19" spans="2:15" s="264" customFormat="1" ht="72.75" customHeight="1" x14ac:dyDescent="0.25">
      <c r="B19" s="259" t="s">
        <v>49</v>
      </c>
      <c r="C19" s="260" t="s">
        <v>50</v>
      </c>
      <c r="D19" s="261" t="s">
        <v>51</v>
      </c>
      <c r="E19" s="261" t="s">
        <v>52</v>
      </c>
      <c r="F19" s="261" t="s">
        <v>53</v>
      </c>
      <c r="G19" s="261" t="s">
        <v>54</v>
      </c>
      <c r="H19" s="261" t="s">
        <v>55</v>
      </c>
      <c r="I19" s="261" t="s">
        <v>11</v>
      </c>
      <c r="J19" s="261" t="s">
        <v>12</v>
      </c>
      <c r="K19" s="262" t="s">
        <v>56</v>
      </c>
      <c r="L19" s="261" t="s">
        <v>57</v>
      </c>
      <c r="M19" s="261" t="s">
        <v>58</v>
      </c>
      <c r="N19" s="263" t="s">
        <v>59</v>
      </c>
    </row>
    <row r="20" spans="2:15" s="196" customFormat="1" ht="45" customHeight="1" x14ac:dyDescent="0.25">
      <c r="B20" s="214">
        <v>80141800</v>
      </c>
      <c r="C20" s="265" t="s">
        <v>60</v>
      </c>
      <c r="D20" s="190" t="s">
        <v>109</v>
      </c>
      <c r="E20" s="187" t="s">
        <v>202</v>
      </c>
      <c r="F20" s="187" t="s">
        <v>63</v>
      </c>
      <c r="G20" s="187" t="s">
        <v>64</v>
      </c>
      <c r="H20" s="187" t="s">
        <v>11</v>
      </c>
      <c r="I20" s="192">
        <v>13200000</v>
      </c>
      <c r="J20" s="192">
        <v>0</v>
      </c>
      <c r="K20" s="192">
        <f>+I20+J20</f>
        <v>13200000</v>
      </c>
      <c r="L20" s="187" t="s">
        <v>65</v>
      </c>
      <c r="M20" s="187" t="s">
        <v>66</v>
      </c>
      <c r="N20" s="193" t="s">
        <v>67</v>
      </c>
    </row>
    <row r="21" spans="2:15" s="196" customFormat="1" ht="93.75" customHeight="1" x14ac:dyDescent="0.25">
      <c r="B21" s="214">
        <v>55101504</v>
      </c>
      <c r="C21" s="265" t="s">
        <v>68</v>
      </c>
      <c r="D21" s="190" t="s">
        <v>109</v>
      </c>
      <c r="E21" s="187" t="s">
        <v>70</v>
      </c>
      <c r="F21" s="187" t="s">
        <v>71</v>
      </c>
      <c r="G21" s="187" t="s">
        <v>64</v>
      </c>
      <c r="H21" s="187" t="s">
        <v>72</v>
      </c>
      <c r="I21" s="192">
        <v>5600000</v>
      </c>
      <c r="J21" s="266">
        <v>3000000</v>
      </c>
      <c r="K21" s="192">
        <f t="shared" ref="K21:K91" si="0">+I21+J21</f>
        <v>8600000</v>
      </c>
      <c r="L21" s="190" t="s">
        <v>65</v>
      </c>
      <c r="M21" s="190" t="s">
        <v>66</v>
      </c>
      <c r="N21" s="193" t="s">
        <v>67</v>
      </c>
    </row>
    <row r="22" spans="2:15" s="196" customFormat="1" ht="50.25" customHeight="1" x14ac:dyDescent="0.25">
      <c r="B22" s="214">
        <v>78111800</v>
      </c>
      <c r="C22" s="265" t="s">
        <v>73</v>
      </c>
      <c r="D22" s="190" t="s">
        <v>109</v>
      </c>
      <c r="E22" s="187" t="s">
        <v>74</v>
      </c>
      <c r="F22" s="187" t="s">
        <v>75</v>
      </c>
      <c r="G22" s="187" t="s">
        <v>64</v>
      </c>
      <c r="H22" s="187" t="s">
        <v>12</v>
      </c>
      <c r="I22" s="192">
        <v>0</v>
      </c>
      <c r="J22" s="192">
        <v>5000000</v>
      </c>
      <c r="K22" s="192">
        <f t="shared" si="0"/>
        <v>5000000</v>
      </c>
      <c r="L22" s="190" t="s">
        <v>65</v>
      </c>
      <c r="M22" s="190" t="s">
        <v>66</v>
      </c>
      <c r="N22" s="193" t="s">
        <v>67</v>
      </c>
    </row>
    <row r="23" spans="2:15" s="196" customFormat="1" ht="54.75" customHeight="1" x14ac:dyDescent="0.25">
      <c r="B23" s="214">
        <v>81111800</v>
      </c>
      <c r="C23" s="265" t="s">
        <v>517</v>
      </c>
      <c r="D23" s="190" t="s">
        <v>109</v>
      </c>
      <c r="E23" s="187" t="s">
        <v>569</v>
      </c>
      <c r="F23" s="187" t="s">
        <v>63</v>
      </c>
      <c r="G23" s="187" t="s">
        <v>77</v>
      </c>
      <c r="H23" s="187" t="s">
        <v>72</v>
      </c>
      <c r="I23" s="192">
        <v>3000000</v>
      </c>
      <c r="J23" s="192">
        <v>1200000</v>
      </c>
      <c r="K23" s="192">
        <f t="shared" si="0"/>
        <v>4200000</v>
      </c>
      <c r="L23" s="190" t="s">
        <v>65</v>
      </c>
      <c r="M23" s="190" t="s">
        <v>66</v>
      </c>
      <c r="N23" s="193" t="s">
        <v>67</v>
      </c>
      <c r="O23" s="267"/>
    </row>
    <row r="24" spans="2:15" s="196" customFormat="1" ht="35.25" customHeight="1" x14ac:dyDescent="0.25">
      <c r="B24" s="214">
        <v>53102710</v>
      </c>
      <c r="C24" s="265" t="s">
        <v>78</v>
      </c>
      <c r="D24" s="190" t="s">
        <v>79</v>
      </c>
      <c r="E24" s="187" t="s">
        <v>80</v>
      </c>
      <c r="F24" s="187" t="s">
        <v>81</v>
      </c>
      <c r="G24" s="191" t="s">
        <v>82</v>
      </c>
      <c r="H24" s="187" t="s">
        <v>11</v>
      </c>
      <c r="I24" s="192">
        <v>2500000</v>
      </c>
      <c r="J24" s="188">
        <v>0</v>
      </c>
      <c r="K24" s="192">
        <f t="shared" si="0"/>
        <v>2500000</v>
      </c>
      <c r="L24" s="190" t="s">
        <v>65</v>
      </c>
      <c r="M24" s="190" t="s">
        <v>66</v>
      </c>
      <c r="N24" s="193" t="s">
        <v>67</v>
      </c>
    </row>
    <row r="25" spans="2:15" s="196" customFormat="1" ht="111" customHeight="1" x14ac:dyDescent="0.25">
      <c r="B25" s="214">
        <v>84131501</v>
      </c>
      <c r="C25" s="265" t="s">
        <v>83</v>
      </c>
      <c r="D25" s="190" t="s">
        <v>109</v>
      </c>
      <c r="E25" s="187" t="s">
        <v>80</v>
      </c>
      <c r="F25" s="187" t="s">
        <v>84</v>
      </c>
      <c r="G25" s="187" t="s">
        <v>85</v>
      </c>
      <c r="H25" s="187" t="s">
        <v>12</v>
      </c>
      <c r="I25" s="188">
        <v>0</v>
      </c>
      <c r="J25" s="192">
        <v>6500000</v>
      </c>
      <c r="K25" s="192">
        <f t="shared" si="0"/>
        <v>6500000</v>
      </c>
      <c r="L25" s="190" t="s">
        <v>65</v>
      </c>
      <c r="M25" s="190" t="s">
        <v>66</v>
      </c>
      <c r="N25" s="193" t="s">
        <v>67</v>
      </c>
    </row>
    <row r="26" spans="2:15" s="196" customFormat="1" ht="85.5" customHeight="1" x14ac:dyDescent="0.25">
      <c r="B26" s="214">
        <v>76111501</v>
      </c>
      <c r="C26" s="265" t="s">
        <v>524</v>
      </c>
      <c r="D26" s="190" t="s">
        <v>69</v>
      </c>
      <c r="E26" s="187" t="s">
        <v>103</v>
      </c>
      <c r="F26" s="187" t="s">
        <v>88</v>
      </c>
      <c r="G26" s="187" t="s">
        <v>167</v>
      </c>
      <c r="H26" s="187" t="s">
        <v>11</v>
      </c>
      <c r="I26" s="192">
        <v>8668188</v>
      </c>
      <c r="J26" s="192">
        <v>0</v>
      </c>
      <c r="K26" s="192">
        <f>+I26+J26</f>
        <v>8668188</v>
      </c>
      <c r="L26" s="190" t="s">
        <v>65</v>
      </c>
      <c r="M26" s="190" t="s">
        <v>66</v>
      </c>
      <c r="N26" s="193" t="s">
        <v>67</v>
      </c>
    </row>
    <row r="27" spans="2:15" s="196" customFormat="1" ht="60.75" customHeight="1" x14ac:dyDescent="0.25">
      <c r="B27" s="214">
        <v>76111501</v>
      </c>
      <c r="C27" s="265" t="s">
        <v>86</v>
      </c>
      <c r="D27" s="190" t="s">
        <v>109</v>
      </c>
      <c r="E27" s="187" t="s">
        <v>62</v>
      </c>
      <c r="F27" s="187" t="s">
        <v>88</v>
      </c>
      <c r="G27" s="187" t="s">
        <v>89</v>
      </c>
      <c r="H27" s="187" t="s">
        <v>12</v>
      </c>
      <c r="I27" s="192">
        <f>21956613-I26</f>
        <v>13288425</v>
      </c>
      <c r="J27" s="192">
        <f>+'[1]PRESU DESAGREGADO 2016'!D60</f>
        <v>27956613</v>
      </c>
      <c r="K27" s="192">
        <f t="shared" si="0"/>
        <v>41245038</v>
      </c>
      <c r="L27" s="190" t="s">
        <v>65</v>
      </c>
      <c r="M27" s="190" t="s">
        <v>66</v>
      </c>
      <c r="N27" s="193" t="s">
        <v>67</v>
      </c>
    </row>
    <row r="28" spans="2:15" s="196" customFormat="1" ht="31.5" customHeight="1" x14ac:dyDescent="0.25">
      <c r="B28" s="214"/>
      <c r="C28" s="265" t="s">
        <v>275</v>
      </c>
      <c r="D28" s="190" t="s">
        <v>79</v>
      </c>
      <c r="E28" s="187" t="s">
        <v>103</v>
      </c>
      <c r="F28" s="187"/>
      <c r="G28" s="187"/>
      <c r="H28" s="187"/>
      <c r="I28" s="192">
        <v>6000000</v>
      </c>
      <c r="J28" s="192"/>
      <c r="K28" s="192"/>
      <c r="L28" s="190"/>
      <c r="M28" s="190"/>
      <c r="N28" s="193"/>
    </row>
    <row r="29" spans="2:15" s="196" customFormat="1" ht="47.25" customHeight="1" x14ac:dyDescent="0.25">
      <c r="B29" s="214">
        <v>76111501</v>
      </c>
      <c r="C29" s="265" t="s">
        <v>90</v>
      </c>
      <c r="D29" s="190" t="s">
        <v>79</v>
      </c>
      <c r="E29" s="187" t="s">
        <v>74</v>
      </c>
      <c r="F29" s="187" t="s">
        <v>88</v>
      </c>
      <c r="G29" s="187" t="s">
        <v>89</v>
      </c>
      <c r="H29" s="187" t="s">
        <v>12</v>
      </c>
      <c r="I29" s="192">
        <f>+'[1]PRESU DESAGREGADO 2016'!C59</f>
        <v>5250000</v>
      </c>
      <c r="J29" s="192">
        <f>+'[1]PRESU DESAGREGADO 2016'!D59</f>
        <v>4000000</v>
      </c>
      <c r="K29" s="192">
        <f t="shared" ref="K29:K41" si="1">+I29+J29</f>
        <v>9250000</v>
      </c>
      <c r="L29" s="190" t="s">
        <v>65</v>
      </c>
      <c r="M29" s="190" t="s">
        <v>66</v>
      </c>
      <c r="N29" s="193" t="s">
        <v>67</v>
      </c>
    </row>
    <row r="30" spans="2:15" s="196" customFormat="1" ht="68.25" customHeight="1" x14ac:dyDescent="0.25">
      <c r="B30" s="214">
        <v>92101501</v>
      </c>
      <c r="C30" s="265" t="s">
        <v>525</v>
      </c>
      <c r="D30" s="190" t="s">
        <v>69</v>
      </c>
      <c r="E30" s="187" t="s">
        <v>103</v>
      </c>
      <c r="F30" s="187" t="s">
        <v>88</v>
      </c>
      <c r="G30" s="187" t="s">
        <v>526</v>
      </c>
      <c r="H30" s="187" t="s">
        <v>12</v>
      </c>
      <c r="I30" s="192">
        <v>0</v>
      </c>
      <c r="J30" s="192">
        <v>13323280</v>
      </c>
      <c r="K30" s="192">
        <f t="shared" si="1"/>
        <v>13323280</v>
      </c>
      <c r="L30" s="190" t="s">
        <v>65</v>
      </c>
      <c r="M30" s="190" t="s">
        <v>66</v>
      </c>
      <c r="N30" s="193" t="s">
        <v>67</v>
      </c>
    </row>
    <row r="31" spans="2:15" s="196" customFormat="1" ht="48.75" customHeight="1" x14ac:dyDescent="0.25">
      <c r="B31" s="214">
        <v>92101501</v>
      </c>
      <c r="C31" s="265" t="s">
        <v>91</v>
      </c>
      <c r="D31" s="190" t="s">
        <v>109</v>
      </c>
      <c r="E31" s="187" t="s">
        <v>186</v>
      </c>
      <c r="F31" s="187" t="s">
        <v>88</v>
      </c>
      <c r="G31" s="187" t="s">
        <v>92</v>
      </c>
      <c r="H31" s="187" t="s">
        <v>72</v>
      </c>
      <c r="I31" s="192">
        <f>+'[1]PRESU DESAGREGADO 2016'!C61</f>
        <v>39969840</v>
      </c>
      <c r="J31" s="192">
        <f>39969840-J30</f>
        <v>26646560</v>
      </c>
      <c r="K31" s="192">
        <f t="shared" si="1"/>
        <v>66616400</v>
      </c>
      <c r="L31" s="190" t="s">
        <v>65</v>
      </c>
      <c r="M31" s="190" t="s">
        <v>66</v>
      </c>
      <c r="N31" s="193" t="s">
        <v>67</v>
      </c>
    </row>
    <row r="32" spans="2:15" s="196" customFormat="1" ht="87.75" customHeight="1" x14ac:dyDescent="0.25">
      <c r="B32" s="214">
        <v>80161500</v>
      </c>
      <c r="C32" s="265" t="s">
        <v>512</v>
      </c>
      <c r="D32" s="190" t="s">
        <v>87</v>
      </c>
      <c r="E32" s="187" t="s">
        <v>110</v>
      </c>
      <c r="F32" s="187" t="s">
        <v>93</v>
      </c>
      <c r="G32" s="187" t="s">
        <v>77</v>
      </c>
      <c r="H32" s="187" t="s">
        <v>72</v>
      </c>
      <c r="I32" s="266">
        <v>8000000</v>
      </c>
      <c r="J32" s="266">
        <v>4000000</v>
      </c>
      <c r="K32" s="192">
        <f t="shared" si="1"/>
        <v>12000000</v>
      </c>
      <c r="L32" s="190" t="s">
        <v>65</v>
      </c>
      <c r="M32" s="190" t="s">
        <v>66</v>
      </c>
      <c r="N32" s="193" t="s">
        <v>67</v>
      </c>
    </row>
    <row r="33" spans="2:14" s="196" customFormat="1" ht="87.75" customHeight="1" x14ac:dyDescent="0.25">
      <c r="B33" s="214">
        <v>801615000</v>
      </c>
      <c r="C33" s="265" t="s">
        <v>511</v>
      </c>
      <c r="D33" s="190" t="s">
        <v>109</v>
      </c>
      <c r="E33" s="187" t="s">
        <v>186</v>
      </c>
      <c r="F33" s="187" t="s">
        <v>93</v>
      </c>
      <c r="G33" s="187" t="s">
        <v>77</v>
      </c>
      <c r="H33" s="187" t="s">
        <v>72</v>
      </c>
      <c r="I33" s="266">
        <v>12000000</v>
      </c>
      <c r="J33" s="266">
        <v>24000000</v>
      </c>
      <c r="K33" s="192">
        <f t="shared" si="1"/>
        <v>36000000</v>
      </c>
      <c r="L33" s="190" t="s">
        <v>65</v>
      </c>
      <c r="M33" s="190" t="s">
        <v>66</v>
      </c>
      <c r="N33" s="193" t="s">
        <v>67</v>
      </c>
    </row>
    <row r="34" spans="2:14" s="196" customFormat="1" ht="48.75" customHeight="1" x14ac:dyDescent="0.25">
      <c r="B34" s="214" t="s">
        <v>95</v>
      </c>
      <c r="C34" s="265" t="s">
        <v>96</v>
      </c>
      <c r="D34" s="190" t="s">
        <v>109</v>
      </c>
      <c r="E34" s="187" t="s">
        <v>186</v>
      </c>
      <c r="F34" s="187" t="s">
        <v>93</v>
      </c>
      <c r="G34" s="187" t="s">
        <v>94</v>
      </c>
      <c r="H34" s="187"/>
      <c r="I34" s="192">
        <v>0</v>
      </c>
      <c r="J34" s="192">
        <v>0</v>
      </c>
      <c r="K34" s="192">
        <f t="shared" si="1"/>
        <v>0</v>
      </c>
      <c r="L34" s="190" t="s">
        <v>65</v>
      </c>
      <c r="M34" s="190" t="s">
        <v>66</v>
      </c>
      <c r="N34" s="193" t="s">
        <v>67</v>
      </c>
    </row>
    <row r="35" spans="2:14" s="196" customFormat="1" ht="108.75" customHeight="1" x14ac:dyDescent="0.25">
      <c r="B35" s="214" t="s">
        <v>97</v>
      </c>
      <c r="C35" s="265" t="s">
        <v>584</v>
      </c>
      <c r="D35" s="190" t="s">
        <v>109</v>
      </c>
      <c r="E35" s="187" t="s">
        <v>186</v>
      </c>
      <c r="F35" s="187" t="s">
        <v>93</v>
      </c>
      <c r="G35" s="187" t="s">
        <v>64</v>
      </c>
      <c r="H35" s="187" t="s">
        <v>98</v>
      </c>
      <c r="I35" s="188">
        <v>0</v>
      </c>
      <c r="J35" s="192">
        <v>17000000</v>
      </c>
      <c r="K35" s="192">
        <f t="shared" si="1"/>
        <v>17000000</v>
      </c>
      <c r="L35" s="190" t="s">
        <v>65</v>
      </c>
      <c r="M35" s="190" t="s">
        <v>66</v>
      </c>
      <c r="N35" s="193" t="s">
        <v>67</v>
      </c>
    </row>
    <row r="36" spans="2:14" s="196" customFormat="1" ht="105" customHeight="1" x14ac:dyDescent="0.25">
      <c r="B36" s="214">
        <v>80161504</v>
      </c>
      <c r="C36" s="265" t="s">
        <v>585</v>
      </c>
      <c r="D36" s="190" t="s">
        <v>87</v>
      </c>
      <c r="E36" s="187" t="s">
        <v>198</v>
      </c>
      <c r="F36" s="187" t="s">
        <v>63</v>
      </c>
      <c r="G36" s="187" t="s">
        <v>77</v>
      </c>
      <c r="H36" s="187" t="s">
        <v>11</v>
      </c>
      <c r="I36" s="192">
        <v>5400000</v>
      </c>
      <c r="J36" s="188">
        <v>0</v>
      </c>
      <c r="K36" s="192">
        <f t="shared" si="1"/>
        <v>5400000</v>
      </c>
      <c r="L36" s="190" t="s">
        <v>65</v>
      </c>
      <c r="M36" s="190" t="s">
        <v>66</v>
      </c>
      <c r="N36" s="193" t="s">
        <v>67</v>
      </c>
    </row>
    <row r="37" spans="2:14" s="196" customFormat="1" ht="108.75" customHeight="1" x14ac:dyDescent="0.25">
      <c r="B37" s="214">
        <v>80161504</v>
      </c>
      <c r="C37" s="265" t="s">
        <v>586</v>
      </c>
      <c r="D37" s="190" t="s">
        <v>109</v>
      </c>
      <c r="E37" s="187" t="s">
        <v>202</v>
      </c>
      <c r="F37" s="187" t="s">
        <v>63</v>
      </c>
      <c r="G37" s="187" t="s">
        <v>77</v>
      </c>
      <c r="H37" s="187" t="s">
        <v>11</v>
      </c>
      <c r="I37" s="192">
        <f>22200000-3000000</f>
        <v>19200000</v>
      </c>
      <c r="J37" s="188">
        <v>0</v>
      </c>
      <c r="K37" s="192">
        <f t="shared" si="1"/>
        <v>19200000</v>
      </c>
      <c r="L37" s="190" t="s">
        <v>65</v>
      </c>
      <c r="M37" s="190" t="s">
        <v>66</v>
      </c>
      <c r="N37" s="193" t="s">
        <v>67</v>
      </c>
    </row>
    <row r="38" spans="2:14" s="196" customFormat="1" ht="105" customHeight="1" x14ac:dyDescent="0.25">
      <c r="B38" s="214">
        <v>81112200</v>
      </c>
      <c r="C38" s="265" t="s">
        <v>577</v>
      </c>
      <c r="D38" s="190" t="s">
        <v>76</v>
      </c>
      <c r="E38" s="187" t="s">
        <v>198</v>
      </c>
      <c r="F38" s="187" t="s">
        <v>63</v>
      </c>
      <c r="G38" s="187" t="s">
        <v>77</v>
      </c>
      <c r="H38" s="187" t="s">
        <v>11</v>
      </c>
      <c r="I38" s="192">
        <v>3000000</v>
      </c>
      <c r="J38" s="188">
        <v>0</v>
      </c>
      <c r="K38" s="192">
        <f t="shared" si="1"/>
        <v>3000000</v>
      </c>
      <c r="L38" s="190" t="s">
        <v>65</v>
      </c>
      <c r="M38" s="190" t="s">
        <v>66</v>
      </c>
      <c r="N38" s="193" t="s">
        <v>67</v>
      </c>
    </row>
    <row r="39" spans="2:14" s="196" customFormat="1" ht="70.5" customHeight="1" x14ac:dyDescent="0.25">
      <c r="B39" s="214">
        <v>80100000</v>
      </c>
      <c r="C39" s="265" t="s">
        <v>99</v>
      </c>
      <c r="D39" s="190" t="s">
        <v>79</v>
      </c>
      <c r="E39" s="187" t="s">
        <v>566</v>
      </c>
      <c r="F39" s="187" t="s">
        <v>93</v>
      </c>
      <c r="G39" s="187" t="s">
        <v>77</v>
      </c>
      <c r="H39" s="187" t="s">
        <v>98</v>
      </c>
      <c r="I39" s="188">
        <v>0</v>
      </c>
      <c r="J39" s="188">
        <v>0</v>
      </c>
      <c r="K39" s="192">
        <f t="shared" si="1"/>
        <v>0</v>
      </c>
      <c r="L39" s="190" t="s">
        <v>65</v>
      </c>
      <c r="M39" s="190" t="s">
        <v>66</v>
      </c>
      <c r="N39" s="193" t="s">
        <v>67</v>
      </c>
    </row>
    <row r="40" spans="2:14" s="196" customFormat="1" ht="55.5" customHeight="1" x14ac:dyDescent="0.25">
      <c r="B40" s="214">
        <v>80100000</v>
      </c>
      <c r="C40" s="265" t="s">
        <v>100</v>
      </c>
      <c r="D40" s="190" t="s">
        <v>79</v>
      </c>
      <c r="E40" s="187" t="s">
        <v>566</v>
      </c>
      <c r="F40" s="187" t="s">
        <v>93</v>
      </c>
      <c r="G40" s="187" t="s">
        <v>77</v>
      </c>
      <c r="H40" s="187" t="s">
        <v>12</v>
      </c>
      <c r="I40" s="188">
        <v>0</v>
      </c>
      <c r="J40" s="192">
        <v>0</v>
      </c>
      <c r="K40" s="192">
        <f t="shared" si="1"/>
        <v>0</v>
      </c>
      <c r="L40" s="190" t="s">
        <v>65</v>
      </c>
      <c r="M40" s="190" t="s">
        <v>66</v>
      </c>
      <c r="N40" s="193" t="s">
        <v>67</v>
      </c>
    </row>
    <row r="41" spans="2:14" s="196" customFormat="1" ht="35.25" customHeight="1" x14ac:dyDescent="0.25">
      <c r="B41" s="214">
        <v>40101701</v>
      </c>
      <c r="C41" s="265" t="s">
        <v>101</v>
      </c>
      <c r="D41" s="190" t="s">
        <v>102</v>
      </c>
      <c r="E41" s="187" t="s">
        <v>103</v>
      </c>
      <c r="F41" s="187" t="s">
        <v>104</v>
      </c>
      <c r="G41" s="187" t="s">
        <v>94</v>
      </c>
      <c r="H41" s="187" t="s">
        <v>12</v>
      </c>
      <c r="I41" s="188">
        <v>0</v>
      </c>
      <c r="J41" s="192">
        <v>9000000</v>
      </c>
      <c r="K41" s="192">
        <f t="shared" si="1"/>
        <v>9000000</v>
      </c>
      <c r="L41" s="190" t="s">
        <v>65</v>
      </c>
      <c r="M41" s="190" t="s">
        <v>66</v>
      </c>
      <c r="N41" s="193" t="s">
        <v>67</v>
      </c>
    </row>
    <row r="42" spans="2:14" s="196" customFormat="1" ht="36.75" customHeight="1" x14ac:dyDescent="0.25">
      <c r="B42" s="214">
        <v>80111500</v>
      </c>
      <c r="C42" s="265" t="s">
        <v>567</v>
      </c>
      <c r="D42" s="190" t="s">
        <v>109</v>
      </c>
      <c r="E42" s="187" t="s">
        <v>565</v>
      </c>
      <c r="F42" s="187" t="s">
        <v>75</v>
      </c>
      <c r="G42" s="187" t="s">
        <v>77</v>
      </c>
      <c r="H42" s="187" t="s">
        <v>12</v>
      </c>
      <c r="I42" s="192"/>
      <c r="J42" s="192">
        <v>1500000</v>
      </c>
      <c r="K42" s="192"/>
      <c r="L42" s="190"/>
      <c r="M42" s="190"/>
      <c r="N42" s="193"/>
    </row>
    <row r="43" spans="2:14" s="196" customFormat="1" ht="39" customHeight="1" x14ac:dyDescent="0.25">
      <c r="B43" s="214">
        <v>80111500</v>
      </c>
      <c r="C43" s="265" t="s">
        <v>562</v>
      </c>
      <c r="D43" s="190" t="s">
        <v>109</v>
      </c>
      <c r="E43" s="187" t="s">
        <v>106</v>
      </c>
      <c r="F43" s="187" t="s">
        <v>75</v>
      </c>
      <c r="G43" s="187" t="s">
        <v>77</v>
      </c>
      <c r="H43" s="187" t="s">
        <v>12</v>
      </c>
      <c r="I43" s="192">
        <v>0</v>
      </c>
      <c r="J43" s="192">
        <v>3500000</v>
      </c>
      <c r="K43" s="192">
        <f>+I43+J43</f>
        <v>3500000</v>
      </c>
      <c r="L43" s="190" t="s">
        <v>65</v>
      </c>
      <c r="M43" s="190" t="s">
        <v>66</v>
      </c>
      <c r="N43" s="193" t="s">
        <v>67</v>
      </c>
    </row>
    <row r="44" spans="2:14" s="196" customFormat="1" ht="35.25" customHeight="1" x14ac:dyDescent="0.25">
      <c r="B44" s="214">
        <v>80111500</v>
      </c>
      <c r="C44" s="265" t="s">
        <v>105</v>
      </c>
      <c r="D44" s="190" t="s">
        <v>107</v>
      </c>
      <c r="E44" s="187" t="s">
        <v>106</v>
      </c>
      <c r="F44" s="187" t="s">
        <v>75</v>
      </c>
      <c r="G44" s="187" t="s">
        <v>77</v>
      </c>
      <c r="H44" s="187" t="s">
        <v>12</v>
      </c>
      <c r="I44" s="192">
        <v>0</v>
      </c>
      <c r="J44" s="192">
        <v>5000000</v>
      </c>
      <c r="K44" s="192">
        <f t="shared" si="0"/>
        <v>5000000</v>
      </c>
      <c r="L44" s="190" t="s">
        <v>65</v>
      </c>
      <c r="M44" s="190" t="s">
        <v>66</v>
      </c>
      <c r="N44" s="193" t="s">
        <v>67</v>
      </c>
    </row>
    <row r="45" spans="2:14" s="196" customFormat="1" ht="52.5" customHeight="1" x14ac:dyDescent="0.25">
      <c r="B45" s="214">
        <v>86111701</v>
      </c>
      <c r="C45" s="265" t="s">
        <v>108</v>
      </c>
      <c r="D45" s="190" t="s">
        <v>109</v>
      </c>
      <c r="E45" s="187" t="s">
        <v>110</v>
      </c>
      <c r="F45" s="187" t="s">
        <v>75</v>
      </c>
      <c r="G45" s="187" t="s">
        <v>64</v>
      </c>
      <c r="H45" s="187" t="s">
        <v>12</v>
      </c>
      <c r="I45" s="192">
        <v>0</v>
      </c>
      <c r="J45" s="192">
        <f>2000000*3</f>
        <v>6000000</v>
      </c>
      <c r="K45" s="192">
        <f t="shared" si="0"/>
        <v>6000000</v>
      </c>
      <c r="L45" s="190" t="s">
        <v>65</v>
      </c>
      <c r="M45" s="190" t="s">
        <v>66</v>
      </c>
      <c r="N45" s="193" t="s">
        <v>67</v>
      </c>
    </row>
    <row r="46" spans="2:14" s="196" customFormat="1" ht="35.25" customHeight="1" x14ac:dyDescent="0.25">
      <c r="B46" s="214">
        <v>23153401</v>
      </c>
      <c r="C46" s="265" t="s">
        <v>111</v>
      </c>
      <c r="D46" s="190" t="s">
        <v>79</v>
      </c>
      <c r="E46" s="187" t="s">
        <v>112</v>
      </c>
      <c r="F46" s="187" t="s">
        <v>113</v>
      </c>
      <c r="G46" s="187" t="s">
        <v>94</v>
      </c>
      <c r="H46" s="187" t="s">
        <v>12</v>
      </c>
      <c r="I46" s="188">
        <v>0</v>
      </c>
      <c r="J46" s="192">
        <v>48000</v>
      </c>
      <c r="K46" s="192">
        <f t="shared" si="0"/>
        <v>48000</v>
      </c>
      <c r="L46" s="190" t="s">
        <v>65</v>
      </c>
      <c r="M46" s="190" t="s">
        <v>66</v>
      </c>
      <c r="N46" s="193" t="s">
        <v>67</v>
      </c>
    </row>
    <row r="47" spans="2:14" s="196" customFormat="1" ht="35.25" customHeight="1" x14ac:dyDescent="0.25">
      <c r="B47" s="214">
        <v>44121708</v>
      </c>
      <c r="C47" s="265" t="s">
        <v>114</v>
      </c>
      <c r="D47" s="190" t="s">
        <v>79</v>
      </c>
      <c r="E47" s="187" t="s">
        <v>112</v>
      </c>
      <c r="F47" s="187" t="s">
        <v>113</v>
      </c>
      <c r="G47" s="187" t="s">
        <v>94</v>
      </c>
      <c r="H47" s="187" t="s">
        <v>12</v>
      </c>
      <c r="I47" s="188">
        <v>0</v>
      </c>
      <c r="J47" s="192">
        <v>300000</v>
      </c>
      <c r="K47" s="192">
        <f t="shared" si="0"/>
        <v>300000</v>
      </c>
      <c r="L47" s="190" t="s">
        <v>65</v>
      </c>
      <c r="M47" s="190" t="s">
        <v>66</v>
      </c>
      <c r="N47" s="193" t="s">
        <v>67</v>
      </c>
    </row>
    <row r="48" spans="2:14" s="196" customFormat="1" ht="35.25" customHeight="1" x14ac:dyDescent="0.25">
      <c r="B48" s="214">
        <v>44111515</v>
      </c>
      <c r="C48" s="265" t="s">
        <v>115</v>
      </c>
      <c r="D48" s="190" t="s">
        <v>79</v>
      </c>
      <c r="E48" s="187" t="s">
        <v>112</v>
      </c>
      <c r="F48" s="187" t="s">
        <v>113</v>
      </c>
      <c r="G48" s="187" t="s">
        <v>94</v>
      </c>
      <c r="H48" s="187" t="s">
        <v>12</v>
      </c>
      <c r="I48" s="188">
        <v>0</v>
      </c>
      <c r="J48" s="192">
        <v>1500000</v>
      </c>
      <c r="K48" s="192">
        <f t="shared" si="0"/>
        <v>1500000</v>
      </c>
      <c r="L48" s="190" t="s">
        <v>65</v>
      </c>
      <c r="M48" s="190" t="s">
        <v>66</v>
      </c>
      <c r="N48" s="193" t="s">
        <v>67</v>
      </c>
    </row>
    <row r="49" spans="2:14" s="196" customFormat="1" ht="35.25" customHeight="1" x14ac:dyDescent="0.25">
      <c r="B49" s="214">
        <v>44121506</v>
      </c>
      <c r="C49" s="265" t="s">
        <v>116</v>
      </c>
      <c r="D49" s="190" t="s">
        <v>79</v>
      </c>
      <c r="E49" s="187" t="s">
        <v>112</v>
      </c>
      <c r="F49" s="187" t="s">
        <v>113</v>
      </c>
      <c r="G49" s="187" t="s">
        <v>94</v>
      </c>
      <c r="H49" s="187" t="s">
        <v>12</v>
      </c>
      <c r="I49" s="188">
        <v>0</v>
      </c>
      <c r="J49" s="192">
        <v>30000</v>
      </c>
      <c r="K49" s="192">
        <f t="shared" si="0"/>
        <v>30000</v>
      </c>
      <c r="L49" s="190" t="s">
        <v>65</v>
      </c>
      <c r="M49" s="190" t="s">
        <v>66</v>
      </c>
      <c r="N49" s="193" t="s">
        <v>67</v>
      </c>
    </row>
    <row r="50" spans="2:14" s="196" customFormat="1" ht="35.25" customHeight="1" x14ac:dyDescent="0.25">
      <c r="B50" s="214">
        <v>44121701</v>
      </c>
      <c r="C50" s="265" t="s">
        <v>117</v>
      </c>
      <c r="D50" s="190" t="s">
        <v>79</v>
      </c>
      <c r="E50" s="187" t="s">
        <v>112</v>
      </c>
      <c r="F50" s="187" t="s">
        <v>113</v>
      </c>
      <c r="G50" s="187" t="s">
        <v>94</v>
      </c>
      <c r="H50" s="187" t="s">
        <v>12</v>
      </c>
      <c r="I50" s="188">
        <v>0</v>
      </c>
      <c r="J50" s="192">
        <v>100000</v>
      </c>
      <c r="K50" s="192">
        <f t="shared" si="0"/>
        <v>100000</v>
      </c>
      <c r="L50" s="190" t="s">
        <v>65</v>
      </c>
      <c r="M50" s="190" t="s">
        <v>66</v>
      </c>
      <c r="N50" s="193" t="s">
        <v>67</v>
      </c>
    </row>
    <row r="51" spans="2:14" s="196" customFormat="1" ht="35.25" customHeight="1" x14ac:dyDescent="0.25">
      <c r="B51" s="214">
        <v>44121715</v>
      </c>
      <c r="C51" s="265" t="s">
        <v>118</v>
      </c>
      <c r="D51" s="190" t="s">
        <v>79</v>
      </c>
      <c r="E51" s="187" t="s">
        <v>112</v>
      </c>
      <c r="F51" s="187" t="s">
        <v>113</v>
      </c>
      <c r="G51" s="187" t="s">
        <v>94</v>
      </c>
      <c r="H51" s="187" t="s">
        <v>12</v>
      </c>
      <c r="I51" s="188">
        <v>0</v>
      </c>
      <c r="J51" s="192">
        <v>80000</v>
      </c>
      <c r="K51" s="192">
        <f t="shared" si="0"/>
        <v>80000</v>
      </c>
      <c r="L51" s="190" t="s">
        <v>65</v>
      </c>
      <c r="M51" s="190" t="s">
        <v>66</v>
      </c>
      <c r="N51" s="193" t="s">
        <v>67</v>
      </c>
    </row>
    <row r="52" spans="2:14" s="196" customFormat="1" ht="35.25" customHeight="1" x14ac:dyDescent="0.25">
      <c r="B52" s="214">
        <v>44121804</v>
      </c>
      <c r="C52" s="265" t="s">
        <v>119</v>
      </c>
      <c r="D52" s="190" t="s">
        <v>79</v>
      </c>
      <c r="E52" s="187" t="s">
        <v>112</v>
      </c>
      <c r="F52" s="187" t="s">
        <v>113</v>
      </c>
      <c r="G52" s="187" t="s">
        <v>94</v>
      </c>
      <c r="H52" s="187" t="s">
        <v>12</v>
      </c>
      <c r="I52" s="188">
        <v>0</v>
      </c>
      <c r="J52" s="192">
        <v>68000</v>
      </c>
      <c r="K52" s="192">
        <f t="shared" si="0"/>
        <v>68000</v>
      </c>
      <c r="L52" s="190" t="s">
        <v>65</v>
      </c>
      <c r="M52" s="190" t="s">
        <v>66</v>
      </c>
      <c r="N52" s="193" t="s">
        <v>67</v>
      </c>
    </row>
    <row r="53" spans="2:14" s="196" customFormat="1" ht="35.25" customHeight="1" x14ac:dyDescent="0.25">
      <c r="B53" s="214">
        <v>44122003</v>
      </c>
      <c r="C53" s="265" t="s">
        <v>120</v>
      </c>
      <c r="D53" s="190" t="s">
        <v>79</v>
      </c>
      <c r="E53" s="187" t="s">
        <v>112</v>
      </c>
      <c r="F53" s="187" t="s">
        <v>113</v>
      </c>
      <c r="G53" s="187" t="s">
        <v>94</v>
      </c>
      <c r="H53" s="187" t="s">
        <v>12</v>
      </c>
      <c r="I53" s="188">
        <v>0</v>
      </c>
      <c r="J53" s="192">
        <v>350000</v>
      </c>
      <c r="K53" s="192">
        <f t="shared" si="0"/>
        <v>350000</v>
      </c>
      <c r="L53" s="190" t="s">
        <v>65</v>
      </c>
      <c r="M53" s="190" t="s">
        <v>66</v>
      </c>
      <c r="N53" s="193" t="s">
        <v>67</v>
      </c>
    </row>
    <row r="54" spans="2:14" s="196" customFormat="1" ht="35.25" customHeight="1" x14ac:dyDescent="0.25">
      <c r="B54" s="268">
        <v>141118</v>
      </c>
      <c r="C54" s="269" t="s">
        <v>121</v>
      </c>
      <c r="D54" s="190" t="s">
        <v>79</v>
      </c>
      <c r="E54" s="187" t="s">
        <v>112</v>
      </c>
      <c r="F54" s="187" t="s">
        <v>113</v>
      </c>
      <c r="G54" s="187" t="s">
        <v>94</v>
      </c>
      <c r="H54" s="187" t="s">
        <v>12</v>
      </c>
      <c r="I54" s="188">
        <v>0</v>
      </c>
      <c r="J54" s="192">
        <v>150000</v>
      </c>
      <c r="K54" s="192">
        <f t="shared" si="0"/>
        <v>150000</v>
      </c>
      <c r="L54" s="190" t="s">
        <v>65</v>
      </c>
      <c r="M54" s="190" t="s">
        <v>66</v>
      </c>
      <c r="N54" s="193" t="s">
        <v>67</v>
      </c>
    </row>
    <row r="55" spans="2:14" s="196" customFormat="1" ht="35.25" customHeight="1" x14ac:dyDescent="0.25">
      <c r="B55" s="268">
        <v>441217</v>
      </c>
      <c r="C55" s="269" t="s">
        <v>568</v>
      </c>
      <c r="D55" s="190" t="s">
        <v>79</v>
      </c>
      <c r="E55" s="187" t="s">
        <v>112</v>
      </c>
      <c r="F55" s="187" t="s">
        <v>113</v>
      </c>
      <c r="G55" s="187" t="s">
        <v>94</v>
      </c>
      <c r="H55" s="187" t="s">
        <v>12</v>
      </c>
      <c r="I55" s="188">
        <v>0</v>
      </c>
      <c r="J55" s="192">
        <v>70000</v>
      </c>
      <c r="K55" s="192">
        <f t="shared" si="0"/>
        <v>70000</v>
      </c>
      <c r="L55" s="190" t="s">
        <v>65</v>
      </c>
      <c r="M55" s="190" t="s">
        <v>66</v>
      </c>
      <c r="N55" s="193" t="s">
        <v>67</v>
      </c>
    </row>
    <row r="56" spans="2:14" s="196" customFormat="1" ht="35.25" customHeight="1" x14ac:dyDescent="0.25">
      <c r="B56" s="268">
        <v>432018</v>
      </c>
      <c r="C56" s="269" t="s">
        <v>122</v>
      </c>
      <c r="D56" s="190" t="s">
        <v>79</v>
      </c>
      <c r="E56" s="187" t="s">
        <v>112</v>
      </c>
      <c r="F56" s="187" t="s">
        <v>113</v>
      </c>
      <c r="G56" s="187" t="s">
        <v>94</v>
      </c>
      <c r="H56" s="187" t="s">
        <v>12</v>
      </c>
      <c r="I56" s="188">
        <v>0</v>
      </c>
      <c r="J56" s="192">
        <v>350000</v>
      </c>
      <c r="K56" s="192">
        <f t="shared" si="0"/>
        <v>350000</v>
      </c>
      <c r="L56" s="190" t="s">
        <v>65</v>
      </c>
      <c r="M56" s="190" t="s">
        <v>66</v>
      </c>
      <c r="N56" s="193" t="s">
        <v>67</v>
      </c>
    </row>
    <row r="57" spans="2:14" s="196" customFormat="1" ht="35.25" customHeight="1" x14ac:dyDescent="0.25">
      <c r="B57" s="268">
        <v>441221</v>
      </c>
      <c r="C57" s="269" t="s">
        <v>123</v>
      </c>
      <c r="D57" s="190" t="s">
        <v>79</v>
      </c>
      <c r="E57" s="187" t="s">
        <v>112</v>
      </c>
      <c r="F57" s="187" t="s">
        <v>113</v>
      </c>
      <c r="G57" s="187" t="s">
        <v>94</v>
      </c>
      <c r="H57" s="187" t="s">
        <v>12</v>
      </c>
      <c r="I57" s="188">
        <v>0</v>
      </c>
      <c r="J57" s="192">
        <v>75000</v>
      </c>
      <c r="K57" s="192">
        <f t="shared" si="0"/>
        <v>75000</v>
      </c>
      <c r="L57" s="190" t="s">
        <v>65</v>
      </c>
      <c r="M57" s="190" t="s">
        <v>66</v>
      </c>
      <c r="N57" s="193" t="s">
        <v>67</v>
      </c>
    </row>
    <row r="58" spans="2:14" s="196" customFormat="1" ht="35.25" customHeight="1" x14ac:dyDescent="0.25">
      <c r="B58" s="268">
        <v>441221</v>
      </c>
      <c r="C58" s="269" t="s">
        <v>124</v>
      </c>
      <c r="D58" s="190" t="s">
        <v>79</v>
      </c>
      <c r="E58" s="187" t="s">
        <v>112</v>
      </c>
      <c r="F58" s="187" t="s">
        <v>113</v>
      </c>
      <c r="G58" s="187" t="s">
        <v>94</v>
      </c>
      <c r="H58" s="187" t="s">
        <v>12</v>
      </c>
      <c r="I58" s="188">
        <v>0</v>
      </c>
      <c r="J58" s="192">
        <v>60000</v>
      </c>
      <c r="K58" s="192">
        <f t="shared" si="0"/>
        <v>60000</v>
      </c>
      <c r="L58" s="190" t="s">
        <v>65</v>
      </c>
      <c r="M58" s="190" t="s">
        <v>66</v>
      </c>
      <c r="N58" s="193" t="s">
        <v>67</v>
      </c>
    </row>
    <row r="59" spans="2:14" s="196" customFormat="1" ht="35.25" customHeight="1" x14ac:dyDescent="0.25">
      <c r="B59" s="268">
        <v>441215</v>
      </c>
      <c r="C59" s="269" t="s">
        <v>125</v>
      </c>
      <c r="D59" s="190" t="s">
        <v>79</v>
      </c>
      <c r="E59" s="187" t="s">
        <v>112</v>
      </c>
      <c r="F59" s="187" t="s">
        <v>113</v>
      </c>
      <c r="G59" s="187" t="s">
        <v>94</v>
      </c>
      <c r="H59" s="187" t="s">
        <v>12</v>
      </c>
      <c r="I59" s="188">
        <v>0</v>
      </c>
      <c r="J59" s="192">
        <v>240000</v>
      </c>
      <c r="K59" s="192">
        <f t="shared" si="0"/>
        <v>240000</v>
      </c>
      <c r="L59" s="190" t="s">
        <v>65</v>
      </c>
      <c r="M59" s="190" t="s">
        <v>66</v>
      </c>
      <c r="N59" s="193" t="s">
        <v>67</v>
      </c>
    </row>
    <row r="60" spans="2:14" s="196" customFormat="1" ht="35.25" customHeight="1" x14ac:dyDescent="0.25">
      <c r="B60" s="268">
        <v>441216</v>
      </c>
      <c r="C60" s="269" t="s">
        <v>126</v>
      </c>
      <c r="D60" s="190" t="s">
        <v>79</v>
      </c>
      <c r="E60" s="187" t="s">
        <v>112</v>
      </c>
      <c r="F60" s="187" t="s">
        <v>113</v>
      </c>
      <c r="G60" s="187" t="s">
        <v>94</v>
      </c>
      <c r="H60" s="187" t="s">
        <v>12</v>
      </c>
      <c r="I60" s="188">
        <v>0</v>
      </c>
      <c r="J60" s="192">
        <v>50000</v>
      </c>
      <c r="K60" s="192">
        <f t="shared" si="0"/>
        <v>50000</v>
      </c>
      <c r="L60" s="190" t="s">
        <v>65</v>
      </c>
      <c r="M60" s="190" t="s">
        <v>66</v>
      </c>
      <c r="N60" s="193" t="s">
        <v>67</v>
      </c>
    </row>
    <row r="61" spans="2:14" s="196" customFormat="1" ht="35.25" customHeight="1" x14ac:dyDescent="0.25">
      <c r="B61" s="268">
        <v>441217</v>
      </c>
      <c r="C61" s="269" t="s">
        <v>127</v>
      </c>
      <c r="D61" s="190" t="s">
        <v>79</v>
      </c>
      <c r="E61" s="187" t="s">
        <v>112</v>
      </c>
      <c r="F61" s="187" t="s">
        <v>113</v>
      </c>
      <c r="G61" s="187" t="s">
        <v>94</v>
      </c>
      <c r="H61" s="187" t="s">
        <v>12</v>
      </c>
      <c r="I61" s="188">
        <v>0</v>
      </c>
      <c r="J61" s="192">
        <v>70000</v>
      </c>
      <c r="K61" s="192">
        <f t="shared" si="0"/>
        <v>70000</v>
      </c>
      <c r="L61" s="190" t="s">
        <v>65</v>
      </c>
      <c r="M61" s="190" t="s">
        <v>66</v>
      </c>
      <c r="N61" s="193" t="s">
        <v>67</v>
      </c>
    </row>
    <row r="62" spans="2:14" s="196" customFormat="1" ht="35.25" customHeight="1" x14ac:dyDescent="0.25">
      <c r="B62" s="270">
        <v>14111500</v>
      </c>
      <c r="C62" s="269" t="s">
        <v>128</v>
      </c>
      <c r="D62" s="190" t="s">
        <v>79</v>
      </c>
      <c r="E62" s="187" t="s">
        <v>129</v>
      </c>
      <c r="F62" s="187" t="s">
        <v>113</v>
      </c>
      <c r="G62" s="187" t="s">
        <v>94</v>
      </c>
      <c r="H62" s="187" t="s">
        <v>12</v>
      </c>
      <c r="I62" s="188">
        <v>0</v>
      </c>
      <c r="J62" s="192">
        <v>40000</v>
      </c>
      <c r="K62" s="192">
        <f t="shared" si="0"/>
        <v>40000</v>
      </c>
      <c r="L62" s="190" t="s">
        <v>65</v>
      </c>
      <c r="M62" s="190" t="s">
        <v>66</v>
      </c>
      <c r="N62" s="193" t="s">
        <v>67</v>
      </c>
    </row>
    <row r="63" spans="2:14" s="196" customFormat="1" ht="35.25" customHeight="1" x14ac:dyDescent="0.25">
      <c r="B63" s="214">
        <v>44122104</v>
      </c>
      <c r="C63" s="265" t="s">
        <v>130</v>
      </c>
      <c r="D63" s="190" t="s">
        <v>102</v>
      </c>
      <c r="E63" s="187" t="s">
        <v>112</v>
      </c>
      <c r="F63" s="187" t="s">
        <v>113</v>
      </c>
      <c r="G63" s="187" t="s">
        <v>94</v>
      </c>
      <c r="H63" s="187" t="s">
        <v>12</v>
      </c>
      <c r="I63" s="188">
        <v>0</v>
      </c>
      <c r="J63" s="192">
        <v>25000</v>
      </c>
      <c r="K63" s="192">
        <f t="shared" si="0"/>
        <v>25000</v>
      </c>
      <c r="L63" s="190" t="s">
        <v>65</v>
      </c>
      <c r="M63" s="190" t="s">
        <v>66</v>
      </c>
      <c r="N63" s="193" t="s">
        <v>67</v>
      </c>
    </row>
    <row r="64" spans="2:14" s="196" customFormat="1" ht="35.25" customHeight="1" x14ac:dyDescent="0.25">
      <c r="B64" s="270">
        <v>43191500</v>
      </c>
      <c r="C64" s="265" t="s">
        <v>131</v>
      </c>
      <c r="D64" s="190" t="s">
        <v>102</v>
      </c>
      <c r="E64" s="187" t="s">
        <v>132</v>
      </c>
      <c r="F64" s="187" t="s">
        <v>113</v>
      </c>
      <c r="G64" s="187" t="s">
        <v>94</v>
      </c>
      <c r="H64" s="187" t="s">
        <v>12</v>
      </c>
      <c r="I64" s="188">
        <v>0</v>
      </c>
      <c r="J64" s="192">
        <v>450000</v>
      </c>
      <c r="K64" s="192">
        <f t="shared" si="0"/>
        <v>450000</v>
      </c>
      <c r="L64" s="190" t="s">
        <v>65</v>
      </c>
      <c r="M64" s="190" t="s">
        <v>66</v>
      </c>
      <c r="N64" s="193" t="s">
        <v>67</v>
      </c>
    </row>
    <row r="65" spans="2:14" s="196" customFormat="1" ht="35.25" customHeight="1" x14ac:dyDescent="0.25">
      <c r="B65" s="270">
        <v>55121904</v>
      </c>
      <c r="C65" s="265" t="s">
        <v>133</v>
      </c>
      <c r="D65" s="190" t="s">
        <v>134</v>
      </c>
      <c r="E65" s="187" t="s">
        <v>135</v>
      </c>
      <c r="F65" s="187" t="s">
        <v>113</v>
      </c>
      <c r="G65" s="187" t="s">
        <v>94</v>
      </c>
      <c r="H65" s="187" t="s">
        <v>12</v>
      </c>
      <c r="I65" s="188">
        <v>0</v>
      </c>
      <c r="J65" s="192">
        <v>150000</v>
      </c>
      <c r="K65" s="192">
        <f t="shared" si="0"/>
        <v>150000</v>
      </c>
      <c r="L65" s="190" t="s">
        <v>65</v>
      </c>
      <c r="M65" s="190" t="s">
        <v>66</v>
      </c>
      <c r="N65" s="193" t="s">
        <v>67</v>
      </c>
    </row>
    <row r="66" spans="2:14" s="196" customFormat="1" ht="35.25" customHeight="1" x14ac:dyDescent="0.25">
      <c r="B66" s="270">
        <v>48101500</v>
      </c>
      <c r="C66" s="265" t="s">
        <v>587</v>
      </c>
      <c r="D66" s="190" t="s">
        <v>134</v>
      </c>
      <c r="E66" s="187" t="s">
        <v>135</v>
      </c>
      <c r="F66" s="187" t="s">
        <v>113</v>
      </c>
      <c r="G66" s="187" t="s">
        <v>94</v>
      </c>
      <c r="H66" s="187" t="s">
        <v>12</v>
      </c>
      <c r="I66" s="188">
        <v>0</v>
      </c>
      <c r="J66" s="188">
        <v>0</v>
      </c>
      <c r="K66" s="192">
        <f t="shared" si="0"/>
        <v>0</v>
      </c>
      <c r="L66" s="190" t="s">
        <v>65</v>
      </c>
      <c r="M66" s="190" t="s">
        <v>66</v>
      </c>
      <c r="N66" s="193" t="s">
        <v>67</v>
      </c>
    </row>
    <row r="67" spans="2:14" s="196" customFormat="1" ht="35.25" customHeight="1" x14ac:dyDescent="0.25">
      <c r="B67" s="214">
        <v>47131604</v>
      </c>
      <c r="C67" s="265" t="s">
        <v>136</v>
      </c>
      <c r="D67" s="190" t="s">
        <v>79</v>
      </c>
      <c r="E67" s="187" t="s">
        <v>112</v>
      </c>
      <c r="F67" s="187" t="s">
        <v>113</v>
      </c>
      <c r="G67" s="187" t="s">
        <v>94</v>
      </c>
      <c r="H67" s="187" t="s">
        <v>12</v>
      </c>
      <c r="I67" s="188">
        <v>0</v>
      </c>
      <c r="J67" s="192">
        <v>150000</v>
      </c>
      <c r="K67" s="192">
        <f t="shared" si="0"/>
        <v>150000</v>
      </c>
      <c r="L67" s="190" t="s">
        <v>65</v>
      </c>
      <c r="M67" s="190" t="s">
        <v>66</v>
      </c>
      <c r="N67" s="193" t="s">
        <v>67</v>
      </c>
    </row>
    <row r="68" spans="2:14" s="196" customFormat="1" ht="35.25" customHeight="1" x14ac:dyDescent="0.25">
      <c r="B68" s="268">
        <v>531316</v>
      </c>
      <c r="C68" s="265" t="s">
        <v>137</v>
      </c>
      <c r="D68" s="190" t="s">
        <v>79</v>
      </c>
      <c r="E68" s="187" t="s">
        <v>112</v>
      </c>
      <c r="F68" s="187" t="s">
        <v>113</v>
      </c>
      <c r="G68" s="187" t="s">
        <v>94</v>
      </c>
      <c r="H68" s="187" t="s">
        <v>12</v>
      </c>
      <c r="I68" s="188">
        <v>0</v>
      </c>
      <c r="J68" s="192">
        <v>150000</v>
      </c>
      <c r="K68" s="192">
        <f t="shared" si="0"/>
        <v>150000</v>
      </c>
      <c r="L68" s="190" t="s">
        <v>65</v>
      </c>
      <c r="M68" s="190" t="s">
        <v>66</v>
      </c>
      <c r="N68" s="193" t="s">
        <v>67</v>
      </c>
    </row>
    <row r="69" spans="2:14" s="196" customFormat="1" ht="35.25" customHeight="1" x14ac:dyDescent="0.25">
      <c r="B69" s="268">
        <v>121419</v>
      </c>
      <c r="C69" s="265" t="s">
        <v>138</v>
      </c>
      <c r="D69" s="190" t="s">
        <v>79</v>
      </c>
      <c r="E69" s="187" t="s">
        <v>112</v>
      </c>
      <c r="F69" s="187" t="s">
        <v>113</v>
      </c>
      <c r="G69" s="187" t="s">
        <v>94</v>
      </c>
      <c r="H69" s="187" t="s">
        <v>12</v>
      </c>
      <c r="I69" s="188">
        <v>0</v>
      </c>
      <c r="J69" s="192">
        <v>150000</v>
      </c>
      <c r="K69" s="192">
        <f t="shared" si="0"/>
        <v>150000</v>
      </c>
      <c r="L69" s="190" t="s">
        <v>65</v>
      </c>
      <c r="M69" s="190" t="s">
        <v>66</v>
      </c>
      <c r="N69" s="193" t="s">
        <v>67</v>
      </c>
    </row>
    <row r="70" spans="2:14" s="196" customFormat="1" ht="35.25" customHeight="1" x14ac:dyDescent="0.25">
      <c r="B70" s="268">
        <v>471318</v>
      </c>
      <c r="C70" s="265" t="s">
        <v>139</v>
      </c>
      <c r="D70" s="190" t="s">
        <v>79</v>
      </c>
      <c r="E70" s="187" t="s">
        <v>112</v>
      </c>
      <c r="F70" s="187" t="s">
        <v>113</v>
      </c>
      <c r="G70" s="187" t="s">
        <v>94</v>
      </c>
      <c r="H70" s="187" t="s">
        <v>12</v>
      </c>
      <c r="I70" s="188">
        <v>0</v>
      </c>
      <c r="J70" s="192">
        <v>150000</v>
      </c>
      <c r="K70" s="192">
        <f t="shared" si="0"/>
        <v>150000</v>
      </c>
      <c r="L70" s="190" t="s">
        <v>65</v>
      </c>
      <c r="M70" s="190" t="s">
        <v>66</v>
      </c>
      <c r="N70" s="193" t="s">
        <v>67</v>
      </c>
    </row>
    <row r="71" spans="2:14" s="196" customFormat="1" ht="35.25" customHeight="1" x14ac:dyDescent="0.25">
      <c r="B71" s="268">
        <v>471318</v>
      </c>
      <c r="C71" s="265" t="s">
        <v>140</v>
      </c>
      <c r="D71" s="190" t="s">
        <v>79</v>
      </c>
      <c r="E71" s="187" t="s">
        <v>112</v>
      </c>
      <c r="F71" s="187" t="s">
        <v>113</v>
      </c>
      <c r="G71" s="187" t="s">
        <v>94</v>
      </c>
      <c r="H71" s="187" t="s">
        <v>12</v>
      </c>
      <c r="I71" s="188">
        <v>0</v>
      </c>
      <c r="J71" s="192">
        <v>150000</v>
      </c>
      <c r="K71" s="192">
        <f t="shared" si="0"/>
        <v>150000</v>
      </c>
      <c r="L71" s="190" t="s">
        <v>65</v>
      </c>
      <c r="M71" s="190" t="s">
        <v>66</v>
      </c>
      <c r="N71" s="193" t="s">
        <v>67</v>
      </c>
    </row>
    <row r="72" spans="2:14" s="196" customFormat="1" ht="35.25" customHeight="1" x14ac:dyDescent="0.25">
      <c r="B72" s="268">
        <v>471217</v>
      </c>
      <c r="C72" s="265" t="s">
        <v>141</v>
      </c>
      <c r="D72" s="190" t="s">
        <v>79</v>
      </c>
      <c r="E72" s="187" t="s">
        <v>112</v>
      </c>
      <c r="F72" s="187" t="s">
        <v>113</v>
      </c>
      <c r="G72" s="187" t="s">
        <v>94</v>
      </c>
      <c r="H72" s="187" t="s">
        <v>12</v>
      </c>
      <c r="I72" s="188">
        <v>0</v>
      </c>
      <c r="J72" s="192">
        <v>110000</v>
      </c>
      <c r="K72" s="192">
        <f t="shared" si="0"/>
        <v>110000</v>
      </c>
      <c r="L72" s="190" t="s">
        <v>65</v>
      </c>
      <c r="M72" s="190" t="s">
        <v>66</v>
      </c>
      <c r="N72" s="193" t="s">
        <v>67</v>
      </c>
    </row>
    <row r="73" spans="2:14" s="196" customFormat="1" ht="35.25" customHeight="1" x14ac:dyDescent="0.25">
      <c r="B73" s="268">
        <v>471217</v>
      </c>
      <c r="C73" s="265" t="s">
        <v>142</v>
      </c>
      <c r="D73" s="190" t="s">
        <v>79</v>
      </c>
      <c r="E73" s="187" t="s">
        <v>112</v>
      </c>
      <c r="F73" s="187" t="s">
        <v>113</v>
      </c>
      <c r="G73" s="187" t="s">
        <v>94</v>
      </c>
      <c r="H73" s="187" t="s">
        <v>12</v>
      </c>
      <c r="I73" s="188">
        <v>0</v>
      </c>
      <c r="J73" s="192">
        <v>64000</v>
      </c>
      <c r="K73" s="192">
        <f t="shared" si="0"/>
        <v>64000</v>
      </c>
      <c r="L73" s="190" t="s">
        <v>65</v>
      </c>
      <c r="M73" s="190" t="s">
        <v>66</v>
      </c>
      <c r="N73" s="193" t="s">
        <v>67</v>
      </c>
    </row>
    <row r="74" spans="2:14" s="196" customFormat="1" ht="35.25" customHeight="1" x14ac:dyDescent="0.25">
      <c r="B74" s="214">
        <v>14111704</v>
      </c>
      <c r="C74" s="265" t="s">
        <v>143</v>
      </c>
      <c r="D74" s="190" t="s">
        <v>79</v>
      </c>
      <c r="E74" s="187" t="s">
        <v>112</v>
      </c>
      <c r="F74" s="187" t="s">
        <v>113</v>
      </c>
      <c r="G74" s="187" t="s">
        <v>94</v>
      </c>
      <c r="H74" s="187" t="s">
        <v>12</v>
      </c>
      <c r="I74" s="188">
        <v>0</v>
      </c>
      <c r="J74" s="192">
        <v>280000</v>
      </c>
      <c r="K74" s="192">
        <f t="shared" si="0"/>
        <v>280000</v>
      </c>
      <c r="L74" s="190" t="s">
        <v>65</v>
      </c>
      <c r="M74" s="190" t="s">
        <v>66</v>
      </c>
      <c r="N74" s="193" t="s">
        <v>67</v>
      </c>
    </row>
    <row r="75" spans="2:14" s="196" customFormat="1" ht="35.25" customHeight="1" x14ac:dyDescent="0.25">
      <c r="B75" s="214">
        <v>53131608</v>
      </c>
      <c r="C75" s="265" t="s">
        <v>144</v>
      </c>
      <c r="D75" s="190" t="s">
        <v>79</v>
      </c>
      <c r="E75" s="187" t="s">
        <v>112</v>
      </c>
      <c r="F75" s="187" t="s">
        <v>113</v>
      </c>
      <c r="G75" s="187" t="s">
        <v>94</v>
      </c>
      <c r="H75" s="187" t="s">
        <v>12</v>
      </c>
      <c r="I75" s="188">
        <v>0</v>
      </c>
      <c r="J75" s="192">
        <v>110000</v>
      </c>
      <c r="K75" s="192">
        <f t="shared" si="0"/>
        <v>110000</v>
      </c>
      <c r="L75" s="190" t="s">
        <v>65</v>
      </c>
      <c r="M75" s="190" t="s">
        <v>66</v>
      </c>
      <c r="N75" s="193" t="s">
        <v>67</v>
      </c>
    </row>
    <row r="76" spans="2:14" s="196" customFormat="1" ht="35.25" customHeight="1" x14ac:dyDescent="0.25">
      <c r="B76" s="214">
        <v>47131807</v>
      </c>
      <c r="C76" s="265" t="s">
        <v>145</v>
      </c>
      <c r="D76" s="190" t="s">
        <v>79</v>
      </c>
      <c r="E76" s="187" t="s">
        <v>112</v>
      </c>
      <c r="F76" s="187" t="s">
        <v>113</v>
      </c>
      <c r="G76" s="187" t="s">
        <v>94</v>
      </c>
      <c r="H76" s="187" t="s">
        <v>12</v>
      </c>
      <c r="I76" s="188">
        <v>0</v>
      </c>
      <c r="J76" s="192">
        <v>120000</v>
      </c>
      <c r="K76" s="192">
        <f t="shared" si="0"/>
        <v>120000</v>
      </c>
      <c r="L76" s="190" t="s">
        <v>65</v>
      </c>
      <c r="M76" s="190" t="s">
        <v>66</v>
      </c>
      <c r="N76" s="193" t="s">
        <v>67</v>
      </c>
    </row>
    <row r="77" spans="2:14" s="196" customFormat="1" ht="35.25" customHeight="1" x14ac:dyDescent="0.25">
      <c r="B77" s="214">
        <v>53131608</v>
      </c>
      <c r="C77" s="265" t="s">
        <v>146</v>
      </c>
      <c r="D77" s="190" t="s">
        <v>79</v>
      </c>
      <c r="E77" s="187" t="s">
        <v>112</v>
      </c>
      <c r="F77" s="187" t="s">
        <v>113</v>
      </c>
      <c r="G77" s="187" t="s">
        <v>94</v>
      </c>
      <c r="H77" s="187" t="s">
        <v>12</v>
      </c>
      <c r="I77" s="188">
        <v>0</v>
      </c>
      <c r="J77" s="192">
        <v>150000</v>
      </c>
      <c r="K77" s="192">
        <f t="shared" si="0"/>
        <v>150000</v>
      </c>
      <c r="L77" s="190" t="s">
        <v>65</v>
      </c>
      <c r="M77" s="190" t="s">
        <v>66</v>
      </c>
      <c r="N77" s="193" t="s">
        <v>67</v>
      </c>
    </row>
    <row r="78" spans="2:14" s="196" customFormat="1" ht="35.25" customHeight="1" x14ac:dyDescent="0.25">
      <c r="B78" s="268">
        <v>471318</v>
      </c>
      <c r="C78" s="265" t="s">
        <v>147</v>
      </c>
      <c r="D78" s="190" t="s">
        <v>79</v>
      </c>
      <c r="E78" s="187" t="s">
        <v>112</v>
      </c>
      <c r="F78" s="187" t="s">
        <v>113</v>
      </c>
      <c r="G78" s="187" t="s">
        <v>94</v>
      </c>
      <c r="H78" s="187" t="s">
        <v>12</v>
      </c>
      <c r="I78" s="188">
        <v>0</v>
      </c>
      <c r="J78" s="192">
        <v>80000</v>
      </c>
      <c r="K78" s="192">
        <f t="shared" si="0"/>
        <v>80000</v>
      </c>
      <c r="L78" s="190" t="s">
        <v>65</v>
      </c>
      <c r="M78" s="190" t="s">
        <v>66</v>
      </c>
      <c r="N78" s="193" t="s">
        <v>67</v>
      </c>
    </row>
    <row r="79" spans="2:14" s="196" customFormat="1" ht="35.25" customHeight="1" x14ac:dyDescent="0.25">
      <c r="B79" s="268">
        <v>461815</v>
      </c>
      <c r="C79" s="265" t="s">
        <v>148</v>
      </c>
      <c r="D79" s="190" t="s">
        <v>79</v>
      </c>
      <c r="E79" s="187" t="s">
        <v>112</v>
      </c>
      <c r="F79" s="187" t="s">
        <v>113</v>
      </c>
      <c r="G79" s="187" t="s">
        <v>94</v>
      </c>
      <c r="H79" s="187" t="s">
        <v>12</v>
      </c>
      <c r="I79" s="188">
        <v>0</v>
      </c>
      <c r="J79" s="192">
        <v>70000</v>
      </c>
      <c r="K79" s="192">
        <f t="shared" si="0"/>
        <v>70000</v>
      </c>
      <c r="L79" s="190" t="s">
        <v>65</v>
      </c>
      <c r="M79" s="190" t="s">
        <v>66</v>
      </c>
      <c r="N79" s="193" t="s">
        <v>67</v>
      </c>
    </row>
    <row r="80" spans="2:14" s="196" customFormat="1" ht="35.25" customHeight="1" x14ac:dyDescent="0.25">
      <c r="B80" s="268">
        <v>271120</v>
      </c>
      <c r="C80" s="265" t="s">
        <v>149</v>
      </c>
      <c r="D80" s="190" t="s">
        <v>79</v>
      </c>
      <c r="E80" s="187" t="s">
        <v>112</v>
      </c>
      <c r="F80" s="187" t="s">
        <v>113</v>
      </c>
      <c r="G80" s="187" t="s">
        <v>94</v>
      </c>
      <c r="H80" s="187" t="s">
        <v>12</v>
      </c>
      <c r="I80" s="188">
        <v>0</v>
      </c>
      <c r="J80" s="192">
        <v>65000</v>
      </c>
      <c r="K80" s="192">
        <f t="shared" si="0"/>
        <v>65000</v>
      </c>
      <c r="L80" s="190" t="s">
        <v>65</v>
      </c>
      <c r="M80" s="190" t="s">
        <v>66</v>
      </c>
      <c r="N80" s="193" t="s">
        <v>67</v>
      </c>
    </row>
    <row r="81" spans="2:14" s="196" customFormat="1" ht="35.25" customHeight="1" x14ac:dyDescent="0.25">
      <c r="B81" s="268">
        <v>422817</v>
      </c>
      <c r="C81" s="265" t="s">
        <v>150</v>
      </c>
      <c r="D81" s="190" t="s">
        <v>79</v>
      </c>
      <c r="E81" s="187" t="s">
        <v>112</v>
      </c>
      <c r="F81" s="187" t="s">
        <v>113</v>
      </c>
      <c r="G81" s="187" t="s">
        <v>94</v>
      </c>
      <c r="H81" s="187" t="s">
        <v>12</v>
      </c>
      <c r="I81" s="188">
        <v>0</v>
      </c>
      <c r="J81" s="192">
        <v>65000</v>
      </c>
      <c r="K81" s="192">
        <f t="shared" si="0"/>
        <v>65000</v>
      </c>
      <c r="L81" s="190" t="s">
        <v>65</v>
      </c>
      <c r="M81" s="190" t="s">
        <v>66</v>
      </c>
      <c r="N81" s="193" t="s">
        <v>67</v>
      </c>
    </row>
    <row r="82" spans="2:14" s="196" customFormat="1" ht="35.25" customHeight="1" x14ac:dyDescent="0.25">
      <c r="B82" s="214">
        <v>56101532</v>
      </c>
      <c r="C82" s="265" t="s">
        <v>151</v>
      </c>
      <c r="D82" s="190" t="s">
        <v>79</v>
      </c>
      <c r="E82" s="187" t="s">
        <v>80</v>
      </c>
      <c r="F82" s="187" t="s">
        <v>113</v>
      </c>
      <c r="G82" s="187" t="s">
        <v>94</v>
      </c>
      <c r="H82" s="187" t="s">
        <v>12</v>
      </c>
      <c r="I82" s="188">
        <v>0</v>
      </c>
      <c r="J82" s="192">
        <v>150000</v>
      </c>
      <c r="K82" s="192">
        <f t="shared" si="0"/>
        <v>150000</v>
      </c>
      <c r="L82" s="190" t="s">
        <v>65</v>
      </c>
      <c r="M82" s="190" t="s">
        <v>66</v>
      </c>
      <c r="N82" s="193" t="s">
        <v>67</v>
      </c>
    </row>
    <row r="83" spans="2:14" s="196" customFormat="1" ht="35.25" customHeight="1" x14ac:dyDescent="0.25">
      <c r="B83" s="270">
        <v>23101510</v>
      </c>
      <c r="C83" s="265" t="s">
        <v>152</v>
      </c>
      <c r="D83" s="190" t="s">
        <v>79</v>
      </c>
      <c r="E83" s="187" t="s">
        <v>135</v>
      </c>
      <c r="F83" s="187" t="s">
        <v>113</v>
      </c>
      <c r="G83" s="187" t="s">
        <v>94</v>
      </c>
      <c r="H83" s="187" t="s">
        <v>12</v>
      </c>
      <c r="I83" s="188">
        <v>0</v>
      </c>
      <c r="J83" s="192">
        <f>320000+88747</f>
        <v>408747</v>
      </c>
      <c r="K83" s="192">
        <f t="shared" si="0"/>
        <v>408747</v>
      </c>
      <c r="L83" s="190" t="s">
        <v>65</v>
      </c>
      <c r="M83" s="190" t="s">
        <v>66</v>
      </c>
      <c r="N83" s="193" t="s">
        <v>67</v>
      </c>
    </row>
    <row r="84" spans="2:14" s="196" customFormat="1" ht="35.25" customHeight="1" x14ac:dyDescent="0.25">
      <c r="B84" s="214"/>
      <c r="C84" s="265" t="s">
        <v>153</v>
      </c>
      <c r="D84" s="190" t="s">
        <v>79</v>
      </c>
      <c r="E84" s="187" t="s">
        <v>135</v>
      </c>
      <c r="F84" s="187" t="s">
        <v>113</v>
      </c>
      <c r="G84" s="187" t="s">
        <v>94</v>
      </c>
      <c r="H84" s="187" t="s">
        <v>12</v>
      </c>
      <c r="I84" s="188">
        <v>0</v>
      </c>
      <c r="J84" s="192">
        <v>50000</v>
      </c>
      <c r="K84" s="192">
        <f t="shared" si="0"/>
        <v>50000</v>
      </c>
      <c r="L84" s="190" t="s">
        <v>65</v>
      </c>
      <c r="M84" s="190" t="s">
        <v>66</v>
      </c>
      <c r="N84" s="193" t="s">
        <v>67</v>
      </c>
    </row>
    <row r="85" spans="2:14" s="196" customFormat="1" ht="35.25" customHeight="1" x14ac:dyDescent="0.25">
      <c r="B85" s="270">
        <v>15121514</v>
      </c>
      <c r="C85" s="265" t="s">
        <v>154</v>
      </c>
      <c r="D85" s="190" t="s">
        <v>79</v>
      </c>
      <c r="E85" s="187" t="s">
        <v>135</v>
      </c>
      <c r="F85" s="187" t="s">
        <v>113</v>
      </c>
      <c r="G85" s="187" t="s">
        <v>94</v>
      </c>
      <c r="H85" s="187" t="s">
        <v>12</v>
      </c>
      <c r="I85" s="188">
        <v>0</v>
      </c>
      <c r="J85" s="192">
        <v>150000</v>
      </c>
      <c r="K85" s="192">
        <f t="shared" si="0"/>
        <v>150000</v>
      </c>
      <c r="L85" s="190" t="s">
        <v>65</v>
      </c>
      <c r="M85" s="190" t="s">
        <v>66</v>
      </c>
      <c r="N85" s="193" t="s">
        <v>67</v>
      </c>
    </row>
    <row r="86" spans="2:14" s="196" customFormat="1" ht="35.25" customHeight="1" x14ac:dyDescent="0.25">
      <c r="B86" s="270">
        <v>24121802</v>
      </c>
      <c r="C86" s="265" t="s">
        <v>155</v>
      </c>
      <c r="D86" s="190" t="s">
        <v>79</v>
      </c>
      <c r="E86" s="187" t="s">
        <v>135</v>
      </c>
      <c r="F86" s="187" t="s">
        <v>113</v>
      </c>
      <c r="G86" s="187" t="s">
        <v>94</v>
      </c>
      <c r="H86" s="187" t="s">
        <v>12</v>
      </c>
      <c r="I86" s="188">
        <v>0</v>
      </c>
      <c r="J86" s="192">
        <v>160000</v>
      </c>
      <c r="K86" s="192">
        <f t="shared" si="0"/>
        <v>160000</v>
      </c>
      <c r="L86" s="190" t="s">
        <v>65</v>
      </c>
      <c r="M86" s="190" t="s">
        <v>66</v>
      </c>
      <c r="N86" s="193" t="s">
        <v>67</v>
      </c>
    </row>
    <row r="87" spans="2:14" s="196" customFormat="1" ht="35.25" customHeight="1" x14ac:dyDescent="0.25">
      <c r="B87" s="270">
        <v>31211518</v>
      </c>
      <c r="C87" s="265" t="s">
        <v>156</v>
      </c>
      <c r="D87" s="190" t="s">
        <v>79</v>
      </c>
      <c r="E87" s="187" t="s">
        <v>135</v>
      </c>
      <c r="F87" s="187" t="s">
        <v>113</v>
      </c>
      <c r="G87" s="187" t="s">
        <v>94</v>
      </c>
      <c r="H87" s="187" t="s">
        <v>12</v>
      </c>
      <c r="I87" s="188">
        <v>0</v>
      </c>
      <c r="J87" s="192">
        <v>69000</v>
      </c>
      <c r="K87" s="192">
        <f t="shared" si="0"/>
        <v>69000</v>
      </c>
      <c r="L87" s="190" t="s">
        <v>65</v>
      </c>
      <c r="M87" s="190" t="s">
        <v>66</v>
      </c>
      <c r="N87" s="193" t="s">
        <v>67</v>
      </c>
    </row>
    <row r="88" spans="2:14" s="196" customFormat="1" ht="35.25" customHeight="1" x14ac:dyDescent="0.25">
      <c r="B88" s="270">
        <v>27111907</v>
      </c>
      <c r="C88" s="265" t="s">
        <v>157</v>
      </c>
      <c r="D88" s="190" t="s">
        <v>79</v>
      </c>
      <c r="E88" s="187" t="s">
        <v>135</v>
      </c>
      <c r="F88" s="187" t="s">
        <v>113</v>
      </c>
      <c r="G88" s="187" t="s">
        <v>94</v>
      </c>
      <c r="H88" s="187" t="s">
        <v>12</v>
      </c>
      <c r="I88" s="188">
        <v>0</v>
      </c>
      <c r="J88" s="192">
        <v>30000</v>
      </c>
      <c r="K88" s="192">
        <f t="shared" si="0"/>
        <v>30000</v>
      </c>
      <c r="L88" s="190" t="s">
        <v>65</v>
      </c>
      <c r="M88" s="190" t="s">
        <v>66</v>
      </c>
      <c r="N88" s="193" t="s">
        <v>67</v>
      </c>
    </row>
    <row r="89" spans="2:14" s="196" customFormat="1" ht="35.25" customHeight="1" x14ac:dyDescent="0.25">
      <c r="B89" s="214">
        <v>50161509</v>
      </c>
      <c r="C89" s="265" t="s">
        <v>158</v>
      </c>
      <c r="D89" s="190" t="s">
        <v>79</v>
      </c>
      <c r="E89" s="187" t="s">
        <v>135</v>
      </c>
      <c r="F89" s="187" t="s">
        <v>113</v>
      </c>
      <c r="G89" s="187" t="s">
        <v>94</v>
      </c>
      <c r="H89" s="187" t="s">
        <v>12</v>
      </c>
      <c r="I89" s="188">
        <v>0</v>
      </c>
      <c r="J89" s="192">
        <v>150000</v>
      </c>
      <c r="K89" s="192">
        <f t="shared" si="0"/>
        <v>150000</v>
      </c>
      <c r="L89" s="190" t="s">
        <v>65</v>
      </c>
      <c r="M89" s="190" t="s">
        <v>66</v>
      </c>
      <c r="N89" s="193" t="s">
        <v>67</v>
      </c>
    </row>
    <row r="90" spans="2:14" s="196" customFormat="1" ht="35.25" customHeight="1" x14ac:dyDescent="0.25">
      <c r="B90" s="214">
        <v>50201706</v>
      </c>
      <c r="C90" s="265" t="s">
        <v>159</v>
      </c>
      <c r="D90" s="190" t="s">
        <v>79</v>
      </c>
      <c r="E90" s="187" t="s">
        <v>135</v>
      </c>
      <c r="F90" s="187" t="s">
        <v>113</v>
      </c>
      <c r="G90" s="187" t="s">
        <v>94</v>
      </c>
      <c r="H90" s="187" t="s">
        <v>12</v>
      </c>
      <c r="I90" s="188">
        <v>0</v>
      </c>
      <c r="J90" s="192">
        <v>150000</v>
      </c>
      <c r="K90" s="192">
        <f t="shared" si="0"/>
        <v>150000</v>
      </c>
      <c r="L90" s="190" t="s">
        <v>65</v>
      </c>
      <c r="M90" s="190" t="s">
        <v>66</v>
      </c>
      <c r="N90" s="193" t="s">
        <v>67</v>
      </c>
    </row>
    <row r="91" spans="2:14" s="196" customFormat="1" ht="35.25" customHeight="1" x14ac:dyDescent="0.25">
      <c r="B91" s="268">
        <v>521515</v>
      </c>
      <c r="C91" s="265" t="s">
        <v>160</v>
      </c>
      <c r="D91" s="190" t="s">
        <v>79</v>
      </c>
      <c r="E91" s="187" t="s">
        <v>135</v>
      </c>
      <c r="F91" s="187" t="s">
        <v>113</v>
      </c>
      <c r="G91" s="187" t="s">
        <v>94</v>
      </c>
      <c r="H91" s="187" t="s">
        <v>12</v>
      </c>
      <c r="I91" s="188">
        <v>0</v>
      </c>
      <c r="J91" s="192">
        <v>75000</v>
      </c>
      <c r="K91" s="192">
        <f t="shared" si="0"/>
        <v>75000</v>
      </c>
      <c r="L91" s="190" t="s">
        <v>65</v>
      </c>
      <c r="M91" s="190" t="s">
        <v>66</v>
      </c>
      <c r="N91" s="193" t="s">
        <v>67</v>
      </c>
    </row>
    <row r="92" spans="2:14" s="196" customFormat="1" ht="35.25" customHeight="1" x14ac:dyDescent="0.25">
      <c r="B92" s="268">
        <v>521515</v>
      </c>
      <c r="C92" s="265" t="s">
        <v>161</v>
      </c>
      <c r="D92" s="190" t="s">
        <v>79</v>
      </c>
      <c r="E92" s="187" t="s">
        <v>135</v>
      </c>
      <c r="F92" s="187" t="s">
        <v>113</v>
      </c>
      <c r="G92" s="187" t="s">
        <v>94</v>
      </c>
      <c r="H92" s="187" t="s">
        <v>12</v>
      </c>
      <c r="I92" s="188">
        <v>0</v>
      </c>
      <c r="J92" s="192">
        <v>70000</v>
      </c>
      <c r="K92" s="192">
        <f t="shared" ref="K92:K183" si="2">+I92+J92</f>
        <v>70000</v>
      </c>
      <c r="L92" s="190" t="s">
        <v>65</v>
      </c>
      <c r="M92" s="190" t="s">
        <v>66</v>
      </c>
      <c r="N92" s="193" t="s">
        <v>67</v>
      </c>
    </row>
    <row r="93" spans="2:14" s="196" customFormat="1" ht="35.25" customHeight="1" x14ac:dyDescent="0.25">
      <c r="B93" s="214">
        <v>46191601</v>
      </c>
      <c r="C93" s="265" t="s">
        <v>162</v>
      </c>
      <c r="D93" s="190" t="s">
        <v>109</v>
      </c>
      <c r="E93" s="187" t="s">
        <v>135</v>
      </c>
      <c r="F93" s="187" t="s">
        <v>113</v>
      </c>
      <c r="G93" s="187" t="s">
        <v>94</v>
      </c>
      <c r="H93" s="187" t="s">
        <v>12</v>
      </c>
      <c r="I93" s="188">
        <v>0</v>
      </c>
      <c r="J93" s="192">
        <v>1650000</v>
      </c>
      <c r="K93" s="192">
        <f t="shared" ref="K93:K97" si="3">+I93+J93</f>
        <v>1650000</v>
      </c>
      <c r="L93" s="190" t="s">
        <v>65</v>
      </c>
      <c r="M93" s="190" t="s">
        <v>66</v>
      </c>
      <c r="N93" s="193" t="s">
        <v>67</v>
      </c>
    </row>
    <row r="94" spans="2:14" s="196" customFormat="1" ht="54" customHeight="1" x14ac:dyDescent="0.25">
      <c r="B94" s="214">
        <v>86111602</v>
      </c>
      <c r="C94" s="265" t="s">
        <v>534</v>
      </c>
      <c r="D94" s="190" t="s">
        <v>69</v>
      </c>
      <c r="E94" s="187" t="s">
        <v>135</v>
      </c>
      <c r="F94" s="187" t="s">
        <v>113</v>
      </c>
      <c r="G94" s="187" t="s">
        <v>179</v>
      </c>
      <c r="H94" s="187" t="s">
        <v>12</v>
      </c>
      <c r="I94" s="192">
        <v>0</v>
      </c>
      <c r="J94" s="192">
        <v>3000000</v>
      </c>
      <c r="K94" s="192">
        <f t="shared" si="3"/>
        <v>3000000</v>
      </c>
      <c r="L94" s="190" t="s">
        <v>65</v>
      </c>
      <c r="M94" s="190" t="s">
        <v>66</v>
      </c>
      <c r="N94" s="193" t="s">
        <v>67</v>
      </c>
    </row>
    <row r="95" spans="2:14" s="196" customFormat="1" ht="63" customHeight="1" x14ac:dyDescent="0.25">
      <c r="B95" s="214" t="s">
        <v>163</v>
      </c>
      <c r="C95" s="197" t="s">
        <v>588</v>
      </c>
      <c r="D95" s="190" t="s">
        <v>87</v>
      </c>
      <c r="E95" s="187" t="s">
        <v>135</v>
      </c>
      <c r="F95" s="187" t="s">
        <v>93</v>
      </c>
      <c r="G95" s="191" t="s">
        <v>179</v>
      </c>
      <c r="H95" s="187" t="s">
        <v>11</v>
      </c>
      <c r="I95" s="192">
        <v>3000000</v>
      </c>
      <c r="J95" s="192">
        <v>0</v>
      </c>
      <c r="K95" s="192">
        <f>+I95+J95</f>
        <v>3000000</v>
      </c>
      <c r="L95" s="190" t="s">
        <v>65</v>
      </c>
      <c r="M95" s="190" t="s">
        <v>66</v>
      </c>
      <c r="N95" s="193" t="s">
        <v>67</v>
      </c>
    </row>
    <row r="96" spans="2:14" s="196" customFormat="1" ht="110.25" customHeight="1" x14ac:dyDescent="0.25">
      <c r="B96" s="214">
        <v>80161504</v>
      </c>
      <c r="C96" s="197" t="s">
        <v>589</v>
      </c>
      <c r="D96" s="190" t="s">
        <v>69</v>
      </c>
      <c r="E96" s="187" t="s">
        <v>529</v>
      </c>
      <c r="F96" s="187" t="s">
        <v>93</v>
      </c>
      <c r="G96" s="191" t="s">
        <v>77</v>
      </c>
      <c r="H96" s="187" t="s">
        <v>11</v>
      </c>
      <c r="I96" s="192">
        <v>12000000</v>
      </c>
      <c r="J96" s="192">
        <v>0</v>
      </c>
      <c r="K96" s="192">
        <f>+I96+J96</f>
        <v>12000000</v>
      </c>
      <c r="L96" s="190" t="s">
        <v>65</v>
      </c>
      <c r="M96" s="190" t="s">
        <v>66</v>
      </c>
      <c r="N96" s="193" t="s">
        <v>67</v>
      </c>
    </row>
    <row r="97" spans="2:15" s="196" customFormat="1" ht="63" customHeight="1" x14ac:dyDescent="0.25">
      <c r="B97" s="214" t="s">
        <v>163</v>
      </c>
      <c r="C97" s="197" t="s">
        <v>590</v>
      </c>
      <c r="D97" s="190" t="s">
        <v>109</v>
      </c>
      <c r="E97" s="187" t="s">
        <v>186</v>
      </c>
      <c r="F97" s="187" t="s">
        <v>93</v>
      </c>
      <c r="G97" s="191" t="s">
        <v>164</v>
      </c>
      <c r="H97" s="191" t="s">
        <v>11</v>
      </c>
      <c r="I97" s="192">
        <v>4800000</v>
      </c>
      <c r="J97" s="192">
        <v>0</v>
      </c>
      <c r="K97" s="192">
        <f t="shared" si="3"/>
        <v>4800000</v>
      </c>
      <c r="L97" s="190" t="s">
        <v>65</v>
      </c>
      <c r="M97" s="190" t="s">
        <v>66</v>
      </c>
      <c r="N97" s="193" t="s">
        <v>67</v>
      </c>
    </row>
    <row r="98" spans="2:15" s="196" customFormat="1" ht="110.25" customHeight="1" x14ac:dyDescent="0.25">
      <c r="B98" s="214">
        <v>86111602</v>
      </c>
      <c r="C98" s="197" t="s">
        <v>534</v>
      </c>
      <c r="D98" s="190" t="s">
        <v>69</v>
      </c>
      <c r="E98" s="187" t="s">
        <v>80</v>
      </c>
      <c r="F98" s="187" t="s">
        <v>166</v>
      </c>
      <c r="G98" s="191" t="s">
        <v>77</v>
      </c>
      <c r="H98" s="187" t="s">
        <v>12</v>
      </c>
      <c r="I98" s="192">
        <v>0</v>
      </c>
      <c r="J98" s="192">
        <v>6900000</v>
      </c>
      <c r="K98" s="192">
        <f t="shared" ref="K98:K115" si="4">+I98+J98</f>
        <v>6900000</v>
      </c>
      <c r="L98" s="190" t="s">
        <v>65</v>
      </c>
      <c r="M98" s="190" t="s">
        <v>66</v>
      </c>
      <c r="N98" s="193" t="s">
        <v>67</v>
      </c>
    </row>
    <row r="99" spans="2:15" s="196" customFormat="1" ht="39.75" customHeight="1" x14ac:dyDescent="0.25">
      <c r="B99" s="214"/>
      <c r="C99" s="197" t="s">
        <v>165</v>
      </c>
      <c r="D99" s="190" t="s">
        <v>102</v>
      </c>
      <c r="E99" s="187" t="s">
        <v>80</v>
      </c>
      <c r="F99" s="187" t="s">
        <v>166</v>
      </c>
      <c r="G99" s="191" t="s">
        <v>167</v>
      </c>
      <c r="H99" s="187" t="s">
        <v>72</v>
      </c>
      <c r="I99" s="192">
        <f>+'[1]PRESU DESAGREGADO 2016'!C53</f>
        <v>3995734</v>
      </c>
      <c r="J99" s="192">
        <f>+'[1]PRESU DESAGREGADO 2016'!D53</f>
        <v>7000000</v>
      </c>
      <c r="K99" s="192">
        <f t="shared" si="4"/>
        <v>10995734</v>
      </c>
      <c r="L99" s="190" t="s">
        <v>65</v>
      </c>
      <c r="M99" s="190" t="s">
        <v>66</v>
      </c>
      <c r="N99" s="193" t="s">
        <v>67</v>
      </c>
    </row>
    <row r="100" spans="2:15" s="196" customFormat="1" ht="106.5" customHeight="1" x14ac:dyDescent="0.25">
      <c r="B100" s="214">
        <v>80121609</v>
      </c>
      <c r="C100" s="271" t="s">
        <v>507</v>
      </c>
      <c r="D100" s="190" t="s">
        <v>87</v>
      </c>
      <c r="E100" s="187" t="s">
        <v>110</v>
      </c>
      <c r="F100" s="187" t="s">
        <v>93</v>
      </c>
      <c r="G100" s="191" t="s">
        <v>179</v>
      </c>
      <c r="H100" s="187" t="s">
        <v>11</v>
      </c>
      <c r="I100" s="192">
        <v>12000000</v>
      </c>
      <c r="J100" s="192"/>
      <c r="K100" s="192">
        <f t="shared" si="4"/>
        <v>12000000</v>
      </c>
      <c r="L100" s="190" t="s">
        <v>65</v>
      </c>
      <c r="M100" s="190" t="s">
        <v>66</v>
      </c>
      <c r="N100" s="193" t="s">
        <v>67</v>
      </c>
    </row>
    <row r="101" spans="2:15" s="196" customFormat="1" ht="115.5" customHeight="1" x14ac:dyDescent="0.25">
      <c r="B101" s="214">
        <v>80121609</v>
      </c>
      <c r="C101" s="265" t="s">
        <v>504</v>
      </c>
      <c r="D101" s="190" t="s">
        <v>109</v>
      </c>
      <c r="E101" s="187" t="s">
        <v>70</v>
      </c>
      <c r="F101" s="187" t="s">
        <v>93</v>
      </c>
      <c r="G101" s="191" t="s">
        <v>179</v>
      </c>
      <c r="H101" s="187" t="s">
        <v>72</v>
      </c>
      <c r="I101" s="192">
        <v>14000000</v>
      </c>
      <c r="J101" s="192">
        <v>0</v>
      </c>
      <c r="K101" s="192">
        <f t="shared" si="4"/>
        <v>14000000</v>
      </c>
      <c r="L101" s="190" t="s">
        <v>65</v>
      </c>
      <c r="M101" s="190" t="s">
        <v>66</v>
      </c>
      <c r="N101" s="193" t="s">
        <v>67</v>
      </c>
    </row>
    <row r="102" spans="2:15" s="196" customFormat="1" ht="120.75" customHeight="1" x14ac:dyDescent="0.25">
      <c r="B102" s="214">
        <v>80121609</v>
      </c>
      <c r="C102" s="213" t="s">
        <v>508</v>
      </c>
      <c r="D102" s="190" t="s">
        <v>87</v>
      </c>
      <c r="E102" s="187" t="s">
        <v>110</v>
      </c>
      <c r="F102" s="187" t="s">
        <v>93</v>
      </c>
      <c r="G102" s="191" t="s">
        <v>179</v>
      </c>
      <c r="H102" s="187" t="s">
        <v>11</v>
      </c>
      <c r="I102" s="192">
        <v>12000000</v>
      </c>
      <c r="J102" s="192">
        <v>0</v>
      </c>
      <c r="K102" s="192">
        <f t="shared" si="4"/>
        <v>12000000</v>
      </c>
      <c r="L102" s="190" t="s">
        <v>65</v>
      </c>
      <c r="M102" s="190" t="s">
        <v>66</v>
      </c>
      <c r="N102" s="193" t="s">
        <v>67</v>
      </c>
    </row>
    <row r="103" spans="2:15" s="196" customFormat="1" ht="116.25" customHeight="1" x14ac:dyDescent="0.25">
      <c r="B103" s="214">
        <v>80121609</v>
      </c>
      <c r="C103" s="265" t="s">
        <v>506</v>
      </c>
      <c r="D103" s="190" t="s">
        <v>134</v>
      </c>
      <c r="E103" s="187" t="s">
        <v>505</v>
      </c>
      <c r="F103" s="187" t="s">
        <v>93</v>
      </c>
      <c r="G103" s="191" t="s">
        <v>179</v>
      </c>
      <c r="H103" s="187" t="s">
        <v>11</v>
      </c>
      <c r="I103" s="192">
        <v>6000000</v>
      </c>
      <c r="J103" s="192">
        <v>7000000</v>
      </c>
      <c r="K103" s="192">
        <f t="shared" si="4"/>
        <v>13000000</v>
      </c>
      <c r="L103" s="190" t="s">
        <v>65</v>
      </c>
      <c r="M103" s="190" t="s">
        <v>66</v>
      </c>
      <c r="N103" s="193" t="s">
        <v>67</v>
      </c>
    </row>
    <row r="104" spans="2:15" s="196" customFormat="1" ht="155.25" customHeight="1" x14ac:dyDescent="0.25">
      <c r="B104" s="214" t="s">
        <v>168</v>
      </c>
      <c r="C104" s="197" t="s">
        <v>530</v>
      </c>
      <c r="D104" s="190" t="s">
        <v>79</v>
      </c>
      <c r="E104" s="187" t="s">
        <v>74</v>
      </c>
      <c r="F104" s="187" t="s">
        <v>93</v>
      </c>
      <c r="G104" s="191" t="s">
        <v>164</v>
      </c>
      <c r="H104" s="187" t="s">
        <v>72</v>
      </c>
      <c r="I104" s="192">
        <v>8000000</v>
      </c>
      <c r="J104" s="192">
        <v>12500000</v>
      </c>
      <c r="K104" s="192">
        <f t="shared" si="4"/>
        <v>20500000</v>
      </c>
      <c r="L104" s="190" t="s">
        <v>65</v>
      </c>
      <c r="M104" s="190" t="s">
        <v>66</v>
      </c>
      <c r="N104" s="193" t="s">
        <v>67</v>
      </c>
    </row>
    <row r="105" spans="2:15" s="196" customFormat="1" ht="79.5" customHeight="1" x14ac:dyDescent="0.25">
      <c r="B105" s="214" t="s">
        <v>170</v>
      </c>
      <c r="C105" s="197" t="s">
        <v>171</v>
      </c>
      <c r="D105" s="190" t="s">
        <v>109</v>
      </c>
      <c r="E105" s="187" t="s">
        <v>189</v>
      </c>
      <c r="F105" s="187" t="s">
        <v>63</v>
      </c>
      <c r="G105" s="191" t="s">
        <v>164</v>
      </c>
      <c r="H105" s="187" t="s">
        <v>72</v>
      </c>
      <c r="I105" s="192">
        <v>12000000</v>
      </c>
      <c r="J105" s="192">
        <f>10000000+32800000</f>
        <v>42800000</v>
      </c>
      <c r="K105" s="192">
        <f t="shared" si="4"/>
        <v>54800000</v>
      </c>
      <c r="L105" s="190" t="s">
        <v>65</v>
      </c>
      <c r="M105" s="190" t="s">
        <v>66</v>
      </c>
      <c r="N105" s="193" t="s">
        <v>67</v>
      </c>
      <c r="O105" s="272">
        <f>+(K105+32800000)</f>
        <v>87600000</v>
      </c>
    </row>
    <row r="106" spans="2:15" s="196" customFormat="1" ht="85.5" customHeight="1" x14ac:dyDescent="0.25">
      <c r="B106" s="214" t="s">
        <v>173</v>
      </c>
      <c r="C106" s="197" t="s">
        <v>591</v>
      </c>
      <c r="D106" s="190" t="s">
        <v>79</v>
      </c>
      <c r="E106" s="187" t="s">
        <v>174</v>
      </c>
      <c r="F106" s="187" t="s">
        <v>93</v>
      </c>
      <c r="G106" s="191" t="s">
        <v>164</v>
      </c>
      <c r="H106" s="187" t="s">
        <v>72</v>
      </c>
      <c r="I106" s="192">
        <f>14000000-8000000</f>
        <v>6000000</v>
      </c>
      <c r="J106" s="192">
        <v>10000000</v>
      </c>
      <c r="K106" s="192">
        <f t="shared" si="4"/>
        <v>16000000</v>
      </c>
      <c r="L106" s="190" t="s">
        <v>65</v>
      </c>
      <c r="M106" s="190" t="s">
        <v>66</v>
      </c>
      <c r="N106" s="193" t="s">
        <v>67</v>
      </c>
    </row>
    <row r="107" spans="2:15" s="196" customFormat="1" ht="100.5" customHeight="1" x14ac:dyDescent="0.25">
      <c r="B107" s="214">
        <v>82141505</v>
      </c>
      <c r="C107" s="197" t="s">
        <v>519</v>
      </c>
      <c r="D107" s="190" t="s">
        <v>87</v>
      </c>
      <c r="E107" s="187" t="s">
        <v>110</v>
      </c>
      <c r="F107" s="187" t="s">
        <v>63</v>
      </c>
      <c r="G107" s="191" t="s">
        <v>179</v>
      </c>
      <c r="H107" s="191" t="s">
        <v>11</v>
      </c>
      <c r="I107" s="192">
        <v>5400000</v>
      </c>
      <c r="J107" s="192">
        <v>0</v>
      </c>
      <c r="K107" s="192">
        <f t="shared" si="4"/>
        <v>5400000</v>
      </c>
      <c r="L107" s="190" t="s">
        <v>65</v>
      </c>
      <c r="M107" s="190" t="s">
        <v>66</v>
      </c>
      <c r="N107" s="193" t="s">
        <v>67</v>
      </c>
    </row>
    <row r="108" spans="2:15" s="196" customFormat="1" ht="85.5" customHeight="1" x14ac:dyDescent="0.25">
      <c r="B108" s="214">
        <v>82141505</v>
      </c>
      <c r="C108" s="197" t="s">
        <v>518</v>
      </c>
      <c r="D108" s="190" t="s">
        <v>109</v>
      </c>
      <c r="E108" s="187" t="s">
        <v>186</v>
      </c>
      <c r="F108" s="187" t="s">
        <v>63</v>
      </c>
      <c r="G108" s="191" t="s">
        <v>179</v>
      </c>
      <c r="H108" s="191" t="s">
        <v>72</v>
      </c>
      <c r="I108" s="192">
        <f>8000000+5200000</f>
        <v>13200000</v>
      </c>
      <c r="J108" s="192">
        <v>13600000</v>
      </c>
      <c r="K108" s="192">
        <f t="shared" si="4"/>
        <v>26800000</v>
      </c>
      <c r="L108" s="190" t="s">
        <v>65</v>
      </c>
      <c r="M108" s="190" t="s">
        <v>66</v>
      </c>
      <c r="N108" s="193" t="s">
        <v>67</v>
      </c>
    </row>
    <row r="109" spans="2:15" s="196" customFormat="1" ht="136.5" customHeight="1" x14ac:dyDescent="0.25">
      <c r="B109" s="214">
        <v>80161504</v>
      </c>
      <c r="C109" s="197" t="s">
        <v>510</v>
      </c>
      <c r="D109" s="190" t="s">
        <v>87</v>
      </c>
      <c r="E109" s="187" t="s">
        <v>110</v>
      </c>
      <c r="F109" s="187" t="s">
        <v>93</v>
      </c>
      <c r="G109" s="191" t="s">
        <v>179</v>
      </c>
      <c r="H109" s="187" t="s">
        <v>72</v>
      </c>
      <c r="I109" s="192">
        <v>9000000</v>
      </c>
      <c r="J109" s="192">
        <v>0</v>
      </c>
      <c r="K109" s="192">
        <f t="shared" si="4"/>
        <v>9000000</v>
      </c>
      <c r="L109" s="190" t="s">
        <v>65</v>
      </c>
      <c r="M109" s="190" t="s">
        <v>66</v>
      </c>
      <c r="N109" s="193" t="s">
        <v>67</v>
      </c>
    </row>
    <row r="110" spans="2:15" s="196" customFormat="1" ht="136.5" customHeight="1" x14ac:dyDescent="0.25">
      <c r="B110" s="214">
        <v>80161504</v>
      </c>
      <c r="C110" s="197" t="s">
        <v>509</v>
      </c>
      <c r="D110" s="190" t="s">
        <v>109</v>
      </c>
      <c r="E110" s="187" t="s">
        <v>505</v>
      </c>
      <c r="F110" s="187" t="s">
        <v>93</v>
      </c>
      <c r="G110" s="191" t="s">
        <v>179</v>
      </c>
      <c r="H110" s="187" t="s">
        <v>72</v>
      </c>
      <c r="I110" s="192">
        <v>1000000</v>
      </c>
      <c r="J110" s="192">
        <f>2000000*5</f>
        <v>10000000</v>
      </c>
      <c r="K110" s="192">
        <f t="shared" si="4"/>
        <v>11000000</v>
      </c>
      <c r="L110" s="190" t="s">
        <v>65</v>
      </c>
      <c r="M110" s="190" t="s">
        <v>66</v>
      </c>
      <c r="N110" s="193" t="s">
        <v>67</v>
      </c>
    </row>
    <row r="111" spans="2:15" s="196" customFormat="1" ht="49.5" customHeight="1" x14ac:dyDescent="0.25">
      <c r="B111" s="214">
        <v>86111602</v>
      </c>
      <c r="C111" s="197" t="s">
        <v>532</v>
      </c>
      <c r="D111" s="190" t="s">
        <v>69</v>
      </c>
      <c r="E111" s="187" t="s">
        <v>533</v>
      </c>
      <c r="F111" s="187" t="s">
        <v>93</v>
      </c>
      <c r="G111" s="191" t="s">
        <v>179</v>
      </c>
      <c r="H111" s="187" t="s">
        <v>12</v>
      </c>
      <c r="I111" s="192">
        <v>0</v>
      </c>
      <c r="J111" s="192">
        <v>71910000</v>
      </c>
      <c r="K111" s="192">
        <f t="shared" si="4"/>
        <v>71910000</v>
      </c>
      <c r="L111" s="190" t="s">
        <v>65</v>
      </c>
      <c r="M111" s="190" t="s">
        <v>66</v>
      </c>
      <c r="N111" s="193" t="s">
        <v>67</v>
      </c>
    </row>
    <row r="112" spans="2:15" s="196" customFormat="1" ht="81.75" customHeight="1" x14ac:dyDescent="0.25">
      <c r="B112" s="214" t="s">
        <v>176</v>
      </c>
      <c r="C112" s="197" t="s">
        <v>177</v>
      </c>
      <c r="D112" s="190" t="s">
        <v>109</v>
      </c>
      <c r="E112" s="187" t="s">
        <v>169</v>
      </c>
      <c r="F112" s="187" t="s">
        <v>178</v>
      </c>
      <c r="G112" s="191" t="s">
        <v>179</v>
      </c>
      <c r="H112" s="191" t="s">
        <v>180</v>
      </c>
      <c r="I112" s="192">
        <f>28800000-12000000</f>
        <v>16800000</v>
      </c>
      <c r="J112" s="192">
        <v>12000000</v>
      </c>
      <c r="K112" s="192">
        <f t="shared" si="4"/>
        <v>28800000</v>
      </c>
      <c r="L112" s="190" t="s">
        <v>65</v>
      </c>
      <c r="M112" s="190" t="s">
        <v>66</v>
      </c>
      <c r="N112" s="193" t="s">
        <v>67</v>
      </c>
    </row>
    <row r="113" spans="2:14" s="196" customFormat="1" ht="64.5" customHeight="1" x14ac:dyDescent="0.25">
      <c r="B113" s="214" t="s">
        <v>182</v>
      </c>
      <c r="C113" s="197" t="s">
        <v>183</v>
      </c>
      <c r="D113" s="190" t="s">
        <v>109</v>
      </c>
      <c r="E113" s="187" t="s">
        <v>202</v>
      </c>
      <c r="F113" s="187" t="s">
        <v>75</v>
      </c>
      <c r="G113" s="191" t="s">
        <v>164</v>
      </c>
      <c r="H113" s="191" t="s">
        <v>12</v>
      </c>
      <c r="I113" s="192">
        <v>0</v>
      </c>
      <c r="J113" s="192">
        <v>5000000</v>
      </c>
      <c r="K113" s="192">
        <f t="shared" si="4"/>
        <v>5000000</v>
      </c>
      <c r="L113" s="190" t="s">
        <v>65</v>
      </c>
      <c r="M113" s="190" t="s">
        <v>66</v>
      </c>
      <c r="N113" s="193" t="s">
        <v>67</v>
      </c>
    </row>
    <row r="114" spans="2:14" s="196" customFormat="1" ht="102" customHeight="1" x14ac:dyDescent="0.25">
      <c r="B114" s="214" t="s">
        <v>185</v>
      </c>
      <c r="C114" s="197" t="s">
        <v>560</v>
      </c>
      <c r="D114" s="190" t="s">
        <v>76</v>
      </c>
      <c r="E114" s="187" t="s">
        <v>186</v>
      </c>
      <c r="F114" s="187" t="s">
        <v>178</v>
      </c>
      <c r="G114" s="191" t="s">
        <v>179</v>
      </c>
      <c r="H114" s="191" t="s">
        <v>187</v>
      </c>
      <c r="I114" s="192">
        <v>33000000</v>
      </c>
      <c r="J114" s="192">
        <v>0</v>
      </c>
      <c r="K114" s="192">
        <f t="shared" si="4"/>
        <v>33000000</v>
      </c>
      <c r="L114" s="190" t="s">
        <v>65</v>
      </c>
      <c r="M114" s="190" t="s">
        <v>66</v>
      </c>
      <c r="N114" s="193" t="s">
        <v>67</v>
      </c>
    </row>
    <row r="115" spans="2:14" s="196" customFormat="1" ht="67.5" customHeight="1" x14ac:dyDescent="0.25">
      <c r="B115" s="214">
        <v>86141704</v>
      </c>
      <c r="C115" s="197" t="s">
        <v>516</v>
      </c>
      <c r="D115" s="190" t="s">
        <v>87</v>
      </c>
      <c r="E115" s="187" t="s">
        <v>62</v>
      </c>
      <c r="F115" s="187" t="s">
        <v>63</v>
      </c>
      <c r="G115" s="191" t="s">
        <v>179</v>
      </c>
      <c r="H115" s="191" t="s">
        <v>11</v>
      </c>
      <c r="I115" s="192">
        <v>18000000</v>
      </c>
      <c r="J115" s="192">
        <v>0</v>
      </c>
      <c r="K115" s="192">
        <f t="shared" si="4"/>
        <v>18000000</v>
      </c>
      <c r="L115" s="190" t="s">
        <v>65</v>
      </c>
      <c r="M115" s="190" t="s">
        <v>66</v>
      </c>
      <c r="N115" s="193" t="s">
        <v>67</v>
      </c>
    </row>
    <row r="116" spans="2:14" s="196" customFormat="1" ht="96.75" customHeight="1" x14ac:dyDescent="0.25">
      <c r="B116" s="214">
        <v>86141704</v>
      </c>
      <c r="C116" s="197" t="s">
        <v>188</v>
      </c>
      <c r="D116" s="190" t="s">
        <v>515</v>
      </c>
      <c r="E116" s="187" t="s">
        <v>172</v>
      </c>
      <c r="F116" s="187" t="s">
        <v>63</v>
      </c>
      <c r="G116" s="191" t="s">
        <v>179</v>
      </c>
      <c r="H116" s="191" t="s">
        <v>11</v>
      </c>
      <c r="I116" s="192">
        <v>3600000</v>
      </c>
      <c r="J116" s="192">
        <v>0</v>
      </c>
      <c r="K116" s="192">
        <f t="shared" ref="K116" si="5">+I116+J116</f>
        <v>3600000</v>
      </c>
      <c r="L116" s="190" t="s">
        <v>65</v>
      </c>
      <c r="M116" s="190" t="s">
        <v>66</v>
      </c>
      <c r="N116" s="193" t="s">
        <v>67</v>
      </c>
    </row>
    <row r="117" spans="2:14" s="196" customFormat="1" ht="62.25" customHeight="1" x14ac:dyDescent="0.25">
      <c r="B117" s="214">
        <v>81112303</v>
      </c>
      <c r="C117" s="197" t="s">
        <v>513</v>
      </c>
      <c r="D117" s="190" t="s">
        <v>87</v>
      </c>
      <c r="E117" s="187" t="s">
        <v>189</v>
      </c>
      <c r="F117" s="187" t="s">
        <v>178</v>
      </c>
      <c r="G117" s="191" t="s">
        <v>179</v>
      </c>
      <c r="H117" s="191" t="s">
        <v>184</v>
      </c>
      <c r="I117" s="192">
        <v>10000000</v>
      </c>
      <c r="J117" s="192">
        <v>0</v>
      </c>
      <c r="K117" s="192">
        <f>+I117+J117</f>
        <v>10000000</v>
      </c>
      <c r="L117" s="190" t="s">
        <v>65</v>
      </c>
      <c r="M117" s="190" t="s">
        <v>66</v>
      </c>
      <c r="N117" s="193" t="s">
        <v>67</v>
      </c>
    </row>
    <row r="118" spans="2:14" s="196" customFormat="1" ht="91.5" customHeight="1" x14ac:dyDescent="0.25">
      <c r="B118" s="214">
        <v>81111707</v>
      </c>
      <c r="C118" s="197" t="s">
        <v>538</v>
      </c>
      <c r="D118" s="190" t="s">
        <v>69</v>
      </c>
      <c r="E118" s="187" t="s">
        <v>198</v>
      </c>
      <c r="F118" s="187" t="s">
        <v>178</v>
      </c>
      <c r="G118" s="191" t="s">
        <v>179</v>
      </c>
      <c r="H118" s="191" t="s">
        <v>184</v>
      </c>
      <c r="I118" s="192">
        <v>12000000</v>
      </c>
      <c r="J118" s="192">
        <v>0</v>
      </c>
      <c r="K118" s="192">
        <f>+I118+J118</f>
        <v>12000000</v>
      </c>
      <c r="L118" s="190"/>
      <c r="M118" s="190"/>
      <c r="N118" s="193"/>
    </row>
    <row r="119" spans="2:14" s="196" customFormat="1" ht="67.5" customHeight="1" x14ac:dyDescent="0.25">
      <c r="B119" s="214" t="s">
        <v>537</v>
      </c>
      <c r="C119" s="273" t="s">
        <v>15</v>
      </c>
      <c r="D119" s="190" t="s">
        <v>79</v>
      </c>
      <c r="E119" s="187" t="s">
        <v>189</v>
      </c>
      <c r="F119" s="187" t="s">
        <v>178</v>
      </c>
      <c r="G119" s="191" t="s">
        <v>179</v>
      </c>
      <c r="H119" s="191" t="s">
        <v>184</v>
      </c>
      <c r="I119" s="192">
        <f>66000000-(I118+I117)</f>
        <v>44000000</v>
      </c>
      <c r="J119" s="192">
        <v>0</v>
      </c>
      <c r="K119" s="192">
        <f t="shared" ref="K119" si="6">+I119+J119</f>
        <v>44000000</v>
      </c>
      <c r="L119" s="190" t="s">
        <v>65</v>
      </c>
      <c r="M119" s="190" t="s">
        <v>66</v>
      </c>
      <c r="N119" s="193" t="s">
        <v>67</v>
      </c>
    </row>
    <row r="120" spans="2:14" s="196" customFormat="1" ht="76.5" customHeight="1" x14ac:dyDescent="0.25">
      <c r="B120" s="214" t="s">
        <v>176</v>
      </c>
      <c r="C120" s="197" t="s">
        <v>573</v>
      </c>
      <c r="D120" s="190" t="s">
        <v>190</v>
      </c>
      <c r="E120" s="187" t="s">
        <v>189</v>
      </c>
      <c r="F120" s="187" t="s">
        <v>63</v>
      </c>
      <c r="G120" s="191" t="s">
        <v>164</v>
      </c>
      <c r="H120" s="191" t="s">
        <v>72</v>
      </c>
      <c r="I120" s="192">
        <f>15000000-2878442</f>
        <v>12121558</v>
      </c>
      <c r="J120" s="188">
        <f>14000000-200000</f>
        <v>13800000</v>
      </c>
      <c r="K120" s="192">
        <f>+I120+J120</f>
        <v>25921558</v>
      </c>
      <c r="L120" s="190" t="s">
        <v>65</v>
      </c>
      <c r="M120" s="190" t="s">
        <v>66</v>
      </c>
      <c r="N120" s="193" t="s">
        <v>67</v>
      </c>
    </row>
    <row r="121" spans="2:14" s="196" customFormat="1" ht="79.5" customHeight="1" x14ac:dyDescent="0.25">
      <c r="B121" s="214" t="s">
        <v>191</v>
      </c>
      <c r="C121" s="197" t="s">
        <v>192</v>
      </c>
      <c r="D121" s="190" t="s">
        <v>109</v>
      </c>
      <c r="E121" s="187" t="s">
        <v>202</v>
      </c>
      <c r="F121" s="187" t="s">
        <v>193</v>
      </c>
      <c r="G121" s="191" t="s">
        <v>82</v>
      </c>
      <c r="H121" s="191" t="s">
        <v>72</v>
      </c>
      <c r="I121" s="192">
        <v>900000</v>
      </c>
      <c r="J121" s="192">
        <v>1500000</v>
      </c>
      <c r="K121" s="192">
        <f>+I121+J121</f>
        <v>2400000</v>
      </c>
      <c r="L121" s="190" t="s">
        <v>65</v>
      </c>
      <c r="M121" s="190" t="s">
        <v>66</v>
      </c>
      <c r="N121" s="193" t="s">
        <v>67</v>
      </c>
    </row>
    <row r="122" spans="2:14" s="196" customFormat="1" ht="77.25" customHeight="1" x14ac:dyDescent="0.25">
      <c r="B122" s="214">
        <v>80121600</v>
      </c>
      <c r="C122" s="197" t="s">
        <v>536</v>
      </c>
      <c r="D122" s="190" t="s">
        <v>69</v>
      </c>
      <c r="E122" s="187" t="s">
        <v>198</v>
      </c>
      <c r="F122" s="187" t="s">
        <v>93</v>
      </c>
      <c r="G122" s="191" t="s">
        <v>179</v>
      </c>
      <c r="H122" s="191" t="s">
        <v>11</v>
      </c>
      <c r="I122" s="192">
        <v>12000000</v>
      </c>
      <c r="J122" s="192">
        <v>0</v>
      </c>
      <c r="K122" s="192">
        <f>+I122+J122</f>
        <v>12000000</v>
      </c>
      <c r="L122" s="190" t="s">
        <v>65</v>
      </c>
      <c r="M122" s="190" t="s">
        <v>66</v>
      </c>
      <c r="N122" s="193" t="s">
        <v>67</v>
      </c>
    </row>
    <row r="123" spans="2:14" s="196" customFormat="1" ht="79.5" customHeight="1" x14ac:dyDescent="0.25">
      <c r="B123" s="214">
        <v>80121600</v>
      </c>
      <c r="C123" s="197" t="s">
        <v>535</v>
      </c>
      <c r="D123" s="190" t="s">
        <v>79</v>
      </c>
      <c r="E123" s="187" t="s">
        <v>202</v>
      </c>
      <c r="F123" s="187" t="s">
        <v>93</v>
      </c>
      <c r="G123" s="191" t="s">
        <v>179</v>
      </c>
      <c r="H123" s="191" t="s">
        <v>11</v>
      </c>
      <c r="I123" s="192">
        <v>10036464</v>
      </c>
      <c r="J123" s="192">
        <v>0</v>
      </c>
      <c r="K123" s="192">
        <f>+I123+J123</f>
        <v>10036464</v>
      </c>
      <c r="L123" s="190" t="s">
        <v>65</v>
      </c>
      <c r="M123" s="190" t="s">
        <v>66</v>
      </c>
      <c r="N123" s="193" t="s">
        <v>67</v>
      </c>
    </row>
    <row r="124" spans="2:14" s="213" customFormat="1" ht="78.75" customHeight="1" x14ac:dyDescent="0.25">
      <c r="B124" s="187">
        <v>72101511</v>
      </c>
      <c r="C124" s="265" t="s">
        <v>575</v>
      </c>
      <c r="D124" s="190" t="s">
        <v>76</v>
      </c>
      <c r="E124" s="187" t="s">
        <v>202</v>
      </c>
      <c r="F124" s="187" t="s">
        <v>88</v>
      </c>
      <c r="G124" s="187" t="s">
        <v>526</v>
      </c>
      <c r="H124" s="274" t="s">
        <v>283</v>
      </c>
      <c r="I124" s="275">
        <v>5040000</v>
      </c>
      <c r="J124" s="192">
        <v>0</v>
      </c>
      <c r="K124" s="192">
        <f>+I124+J124</f>
        <v>5040000</v>
      </c>
      <c r="L124" s="190" t="s">
        <v>65</v>
      </c>
      <c r="M124" s="190" t="s">
        <v>66</v>
      </c>
      <c r="N124" s="265" t="s">
        <v>67</v>
      </c>
    </row>
    <row r="125" spans="2:14" s="196" customFormat="1" ht="66" customHeight="1" x14ac:dyDescent="0.25">
      <c r="B125" s="214" t="s">
        <v>181</v>
      </c>
      <c r="C125" s="197" t="s">
        <v>570</v>
      </c>
      <c r="D125" s="190" t="s">
        <v>79</v>
      </c>
      <c r="E125" s="187" t="s">
        <v>189</v>
      </c>
      <c r="F125" s="187" t="s">
        <v>93</v>
      </c>
      <c r="G125" s="191" t="s">
        <v>164</v>
      </c>
      <c r="H125" s="191" t="s">
        <v>98</v>
      </c>
      <c r="I125" s="188">
        <v>0</v>
      </c>
      <c r="J125" s="188">
        <f>6000000+666389+89800</f>
        <v>6756189</v>
      </c>
      <c r="K125" s="192">
        <f t="shared" si="2"/>
        <v>6756189</v>
      </c>
      <c r="L125" s="190" t="s">
        <v>65</v>
      </c>
      <c r="M125" s="190" t="s">
        <v>66</v>
      </c>
      <c r="N125" s="193" t="s">
        <v>67</v>
      </c>
    </row>
    <row r="126" spans="2:14" s="196" customFormat="1" ht="59.25" customHeight="1" x14ac:dyDescent="0.25">
      <c r="B126" s="214" t="s">
        <v>194</v>
      </c>
      <c r="C126" s="197" t="s">
        <v>578</v>
      </c>
      <c r="D126" s="190" t="s">
        <v>109</v>
      </c>
      <c r="E126" s="187" t="s">
        <v>569</v>
      </c>
      <c r="F126" s="187" t="s">
        <v>195</v>
      </c>
      <c r="G126" s="191" t="s">
        <v>164</v>
      </c>
      <c r="H126" s="191" t="s">
        <v>98</v>
      </c>
      <c r="I126" s="188">
        <v>0</v>
      </c>
      <c r="J126" s="192">
        <v>29415475</v>
      </c>
      <c r="K126" s="192">
        <f t="shared" si="2"/>
        <v>29415475</v>
      </c>
      <c r="L126" s="190" t="s">
        <v>65</v>
      </c>
      <c r="M126" s="190" t="s">
        <v>66</v>
      </c>
      <c r="N126" s="193" t="s">
        <v>67</v>
      </c>
    </row>
    <row r="127" spans="2:14" s="196" customFormat="1" ht="35.25" customHeight="1" x14ac:dyDescent="0.25">
      <c r="B127" s="214" t="s">
        <v>175</v>
      </c>
      <c r="C127" s="197" t="s">
        <v>196</v>
      </c>
      <c r="D127" s="190" t="s">
        <v>197</v>
      </c>
      <c r="E127" s="187" t="s">
        <v>198</v>
      </c>
      <c r="F127" s="187" t="s">
        <v>93</v>
      </c>
      <c r="G127" s="191" t="s">
        <v>164</v>
      </c>
      <c r="H127" s="191" t="s">
        <v>12</v>
      </c>
      <c r="I127" s="188">
        <v>0</v>
      </c>
      <c r="J127" s="188">
        <v>5000000</v>
      </c>
      <c r="K127" s="192">
        <f t="shared" si="2"/>
        <v>5000000</v>
      </c>
      <c r="L127" s="190" t="s">
        <v>65</v>
      </c>
      <c r="M127" s="190" t="s">
        <v>66</v>
      </c>
      <c r="N127" s="193" t="s">
        <v>67</v>
      </c>
    </row>
    <row r="128" spans="2:14" s="196" customFormat="1" ht="35.25" customHeight="1" x14ac:dyDescent="0.25">
      <c r="B128" s="214" t="s">
        <v>175</v>
      </c>
      <c r="C128" s="197" t="s">
        <v>199</v>
      </c>
      <c r="D128" s="190" t="s">
        <v>215</v>
      </c>
      <c r="E128" s="187" t="s">
        <v>62</v>
      </c>
      <c r="F128" s="187" t="s">
        <v>75</v>
      </c>
      <c r="G128" s="191" t="s">
        <v>164</v>
      </c>
      <c r="H128" s="191" t="s">
        <v>98</v>
      </c>
      <c r="I128" s="192">
        <v>0</v>
      </c>
      <c r="J128" s="188">
        <v>26317053</v>
      </c>
      <c r="K128" s="192">
        <f t="shared" si="2"/>
        <v>26317053</v>
      </c>
      <c r="L128" s="190" t="s">
        <v>65</v>
      </c>
      <c r="M128" s="190" t="s">
        <v>66</v>
      </c>
      <c r="N128" s="193" t="s">
        <v>67</v>
      </c>
    </row>
    <row r="129" spans="2:14" s="196" customFormat="1" ht="69" customHeight="1" x14ac:dyDescent="0.25">
      <c r="B129" s="214">
        <v>80161504</v>
      </c>
      <c r="C129" s="197" t="s">
        <v>521</v>
      </c>
      <c r="D129" s="190" t="s">
        <v>69</v>
      </c>
      <c r="E129" s="187" t="s">
        <v>198</v>
      </c>
      <c r="F129" s="187" t="s">
        <v>63</v>
      </c>
      <c r="G129" s="191" t="s">
        <v>164</v>
      </c>
      <c r="H129" s="191" t="s">
        <v>11</v>
      </c>
      <c r="I129" s="188">
        <v>5400000</v>
      </c>
      <c r="J129" s="192">
        <v>0</v>
      </c>
      <c r="K129" s="192">
        <f>+I129+J129</f>
        <v>5400000</v>
      </c>
      <c r="L129" s="190" t="s">
        <v>65</v>
      </c>
      <c r="M129" s="190" t="s">
        <v>66</v>
      </c>
      <c r="N129" s="193" t="s">
        <v>67</v>
      </c>
    </row>
    <row r="130" spans="2:14" s="196" customFormat="1" ht="35.25" customHeight="1" x14ac:dyDescent="0.25">
      <c r="B130" s="214">
        <v>80161504</v>
      </c>
      <c r="C130" s="197" t="s">
        <v>520</v>
      </c>
      <c r="D130" s="190" t="s">
        <v>79</v>
      </c>
      <c r="E130" s="187" t="s">
        <v>202</v>
      </c>
      <c r="F130" s="187" t="s">
        <v>63</v>
      </c>
      <c r="G130" s="191" t="s">
        <v>164</v>
      </c>
      <c r="H130" s="191" t="s">
        <v>72</v>
      </c>
      <c r="I130" s="188">
        <f>12600000+3600000</f>
        <v>16200000</v>
      </c>
      <c r="J130" s="192">
        <v>3600000</v>
      </c>
      <c r="K130" s="192">
        <f t="shared" ref="K130" si="7">+I130+J130</f>
        <v>19800000</v>
      </c>
      <c r="L130" s="190" t="s">
        <v>65</v>
      </c>
      <c r="M130" s="190" t="s">
        <v>66</v>
      </c>
      <c r="N130" s="193" t="s">
        <v>67</v>
      </c>
    </row>
    <row r="131" spans="2:14" s="196" customFormat="1" ht="82.5" customHeight="1" x14ac:dyDescent="0.25">
      <c r="B131" s="199" t="s">
        <v>503</v>
      </c>
      <c r="C131" s="189" t="s">
        <v>579</v>
      </c>
      <c r="D131" s="190" t="s">
        <v>69</v>
      </c>
      <c r="E131" s="187" t="s">
        <v>230</v>
      </c>
      <c r="F131" s="187" t="s">
        <v>178</v>
      </c>
      <c r="G131" s="191" t="s">
        <v>179</v>
      </c>
      <c r="H131" s="191" t="s">
        <v>200</v>
      </c>
      <c r="I131" s="188">
        <v>8000000</v>
      </c>
      <c r="J131" s="192">
        <v>0</v>
      </c>
      <c r="K131" s="192">
        <f>+I131+J131</f>
        <v>8000000</v>
      </c>
      <c r="L131" s="190" t="s">
        <v>65</v>
      </c>
      <c r="M131" s="190" t="s">
        <v>66</v>
      </c>
      <c r="N131" s="193" t="s">
        <v>67</v>
      </c>
    </row>
    <row r="132" spans="2:14" s="196" customFormat="1" ht="52.5" customHeight="1" x14ac:dyDescent="0.25">
      <c r="B132" s="199" t="s">
        <v>503</v>
      </c>
      <c r="C132" s="189" t="s">
        <v>549</v>
      </c>
      <c r="D132" s="190" t="s">
        <v>207</v>
      </c>
      <c r="E132" s="187" t="s">
        <v>204</v>
      </c>
      <c r="F132" s="187" t="s">
        <v>178</v>
      </c>
      <c r="G132" s="191" t="s">
        <v>179</v>
      </c>
      <c r="H132" s="191" t="s">
        <v>200</v>
      </c>
      <c r="I132" s="188">
        <v>0</v>
      </c>
      <c r="J132" s="192">
        <v>8000000</v>
      </c>
      <c r="K132" s="192">
        <f t="shared" si="2"/>
        <v>8000000</v>
      </c>
      <c r="L132" s="190" t="s">
        <v>65</v>
      </c>
      <c r="M132" s="190" t="s">
        <v>66</v>
      </c>
      <c r="N132" s="193" t="s">
        <v>67</v>
      </c>
    </row>
    <row r="133" spans="2:14" s="196" customFormat="1" ht="43.5" customHeight="1" x14ac:dyDescent="0.25">
      <c r="B133" s="199"/>
      <c r="C133" s="189" t="s">
        <v>18</v>
      </c>
      <c r="D133" s="190" t="s">
        <v>197</v>
      </c>
      <c r="E133" s="187" t="s">
        <v>80</v>
      </c>
      <c r="F133" s="187" t="s">
        <v>178</v>
      </c>
      <c r="G133" s="191" t="s">
        <v>179</v>
      </c>
      <c r="H133" s="191" t="s">
        <v>200</v>
      </c>
      <c r="I133" s="188">
        <v>0</v>
      </c>
      <c r="J133" s="192">
        <v>1800000</v>
      </c>
      <c r="K133" s="192">
        <f t="shared" si="2"/>
        <v>1800000</v>
      </c>
      <c r="L133" s="190" t="s">
        <v>65</v>
      </c>
      <c r="M133" s="190" t="s">
        <v>66</v>
      </c>
      <c r="N133" s="193" t="s">
        <v>67</v>
      </c>
    </row>
    <row r="134" spans="2:14" s="196" customFormat="1" ht="52.5" customHeight="1" x14ac:dyDescent="0.25">
      <c r="B134" s="199"/>
      <c r="C134" s="189" t="s">
        <v>201</v>
      </c>
      <c r="D134" s="190" t="s">
        <v>79</v>
      </c>
      <c r="E134" s="187" t="s">
        <v>566</v>
      </c>
      <c r="F134" s="187" t="s">
        <v>178</v>
      </c>
      <c r="G134" s="191" t="s">
        <v>179</v>
      </c>
      <c r="H134" s="191" t="s">
        <v>200</v>
      </c>
      <c r="I134" s="188">
        <f>10000000-2200000</f>
        <v>7800000</v>
      </c>
      <c r="J134" s="188">
        <v>2200000</v>
      </c>
      <c r="K134" s="192">
        <f t="shared" si="2"/>
        <v>10000000</v>
      </c>
      <c r="L134" s="190" t="s">
        <v>65</v>
      </c>
      <c r="M134" s="190" t="s">
        <v>66</v>
      </c>
      <c r="N134" s="193" t="s">
        <v>67</v>
      </c>
    </row>
    <row r="135" spans="2:14" s="196" customFormat="1" ht="47.25" customHeight="1" x14ac:dyDescent="0.25">
      <c r="B135" s="199"/>
      <c r="C135" s="189" t="s">
        <v>203</v>
      </c>
      <c r="D135" s="190" t="s">
        <v>79</v>
      </c>
      <c r="E135" s="187" t="s">
        <v>204</v>
      </c>
      <c r="F135" s="187" t="s">
        <v>178</v>
      </c>
      <c r="G135" s="191" t="s">
        <v>179</v>
      </c>
      <c r="H135" s="191" t="s">
        <v>200</v>
      </c>
      <c r="I135" s="188">
        <v>0</v>
      </c>
      <c r="J135" s="188">
        <v>3000000</v>
      </c>
      <c r="K135" s="192">
        <f t="shared" si="2"/>
        <v>3000000</v>
      </c>
      <c r="L135" s="190" t="s">
        <v>65</v>
      </c>
      <c r="M135" s="190" t="s">
        <v>66</v>
      </c>
      <c r="N135" s="193" t="s">
        <v>67</v>
      </c>
    </row>
    <row r="136" spans="2:14" s="196" customFormat="1" ht="50.25" customHeight="1" x14ac:dyDescent="0.25">
      <c r="B136" s="199"/>
      <c r="C136" s="189" t="s">
        <v>563</v>
      </c>
      <c r="D136" s="190" t="s">
        <v>109</v>
      </c>
      <c r="E136" s="187" t="s">
        <v>564</v>
      </c>
      <c r="F136" s="187" t="s">
        <v>178</v>
      </c>
      <c r="G136" s="191" t="s">
        <v>179</v>
      </c>
      <c r="H136" s="191" t="s">
        <v>200</v>
      </c>
      <c r="I136" s="188">
        <v>0</v>
      </c>
      <c r="J136" s="188">
        <v>1500000</v>
      </c>
      <c r="K136" s="192">
        <f>+I136+J136</f>
        <v>1500000</v>
      </c>
      <c r="L136" s="190" t="s">
        <v>65</v>
      </c>
      <c r="M136" s="190" t="s">
        <v>66</v>
      </c>
      <c r="N136" s="193" t="s">
        <v>67</v>
      </c>
    </row>
    <row r="137" spans="2:14" s="196" customFormat="1" ht="50.25" customHeight="1" x14ac:dyDescent="0.25">
      <c r="B137" s="199"/>
      <c r="C137" s="189" t="s">
        <v>205</v>
      </c>
      <c r="D137" s="190" t="s">
        <v>102</v>
      </c>
      <c r="E137" s="187" t="s">
        <v>198</v>
      </c>
      <c r="F137" s="187" t="s">
        <v>178</v>
      </c>
      <c r="G137" s="191" t="s">
        <v>179</v>
      </c>
      <c r="H137" s="191" t="s">
        <v>200</v>
      </c>
      <c r="I137" s="188">
        <v>0</v>
      </c>
      <c r="J137" s="188">
        <f>5000000-J136</f>
        <v>3500000</v>
      </c>
      <c r="K137" s="192">
        <f t="shared" si="2"/>
        <v>3500000</v>
      </c>
      <c r="L137" s="190" t="s">
        <v>65</v>
      </c>
      <c r="M137" s="190" t="s">
        <v>66</v>
      </c>
      <c r="N137" s="193" t="s">
        <v>67</v>
      </c>
    </row>
    <row r="138" spans="2:14" s="196" customFormat="1" ht="51.75" customHeight="1" x14ac:dyDescent="0.25">
      <c r="B138" s="199"/>
      <c r="C138" s="189" t="s">
        <v>206</v>
      </c>
      <c r="D138" s="190" t="s">
        <v>207</v>
      </c>
      <c r="E138" s="187" t="s">
        <v>204</v>
      </c>
      <c r="F138" s="187" t="s">
        <v>178</v>
      </c>
      <c r="G138" s="191" t="s">
        <v>179</v>
      </c>
      <c r="H138" s="191" t="s">
        <v>200</v>
      </c>
      <c r="I138" s="188">
        <v>17000000</v>
      </c>
      <c r="J138" s="188">
        <v>0</v>
      </c>
      <c r="K138" s="192">
        <f t="shared" si="2"/>
        <v>17000000</v>
      </c>
      <c r="L138" s="190" t="s">
        <v>65</v>
      </c>
      <c r="M138" s="190" t="s">
        <v>66</v>
      </c>
      <c r="N138" s="193" t="s">
        <v>67</v>
      </c>
    </row>
    <row r="139" spans="2:14" s="196" customFormat="1" ht="51.75" customHeight="1" x14ac:dyDescent="0.25">
      <c r="B139" s="199"/>
      <c r="C139" s="189" t="s">
        <v>208</v>
      </c>
      <c r="D139" s="190" t="s">
        <v>109</v>
      </c>
      <c r="E139" s="187" t="s">
        <v>198</v>
      </c>
      <c r="F139" s="187" t="s">
        <v>178</v>
      </c>
      <c r="G139" s="191" t="s">
        <v>179</v>
      </c>
      <c r="H139" s="191" t="s">
        <v>200</v>
      </c>
      <c r="I139" s="188">
        <v>18000000</v>
      </c>
      <c r="J139" s="188"/>
      <c r="K139" s="192">
        <f t="shared" si="2"/>
        <v>18000000</v>
      </c>
      <c r="L139" s="190" t="s">
        <v>65</v>
      </c>
      <c r="M139" s="190" t="s">
        <v>66</v>
      </c>
      <c r="N139" s="193" t="s">
        <v>67</v>
      </c>
    </row>
    <row r="140" spans="2:14" s="196" customFormat="1" ht="51.75" customHeight="1" x14ac:dyDescent="0.25">
      <c r="B140" s="199"/>
      <c r="C140" s="189" t="s">
        <v>209</v>
      </c>
      <c r="D140" s="190" t="s">
        <v>109</v>
      </c>
      <c r="E140" s="187" t="s">
        <v>210</v>
      </c>
      <c r="F140" s="187" t="s">
        <v>211</v>
      </c>
      <c r="G140" s="191" t="s">
        <v>212</v>
      </c>
      <c r="H140" s="191" t="s">
        <v>213</v>
      </c>
      <c r="I140" s="188">
        <f>136000000-I141</f>
        <v>84000000</v>
      </c>
      <c r="J140" s="192">
        <v>40000000</v>
      </c>
      <c r="K140" s="192">
        <f t="shared" ref="K140" si="8">+I140+J140</f>
        <v>124000000</v>
      </c>
      <c r="L140" s="190" t="s">
        <v>65</v>
      </c>
      <c r="M140" s="190" t="s">
        <v>66</v>
      </c>
      <c r="N140" s="193" t="s">
        <v>67</v>
      </c>
    </row>
    <row r="141" spans="2:14" s="196" customFormat="1" ht="58.5" customHeight="1" x14ac:dyDescent="0.25">
      <c r="B141" s="199">
        <v>86111602</v>
      </c>
      <c r="C141" s="189" t="s">
        <v>523</v>
      </c>
      <c r="D141" s="190" t="s">
        <v>69</v>
      </c>
      <c r="E141" s="187" t="s">
        <v>103</v>
      </c>
      <c r="F141" s="187" t="s">
        <v>211</v>
      </c>
      <c r="G141" s="191" t="s">
        <v>212</v>
      </c>
      <c r="H141" s="191" t="s">
        <v>213</v>
      </c>
      <c r="I141" s="188">
        <v>52000000</v>
      </c>
      <c r="J141" s="192"/>
      <c r="K141" s="192">
        <f t="shared" si="2"/>
        <v>52000000</v>
      </c>
      <c r="L141" s="190" t="s">
        <v>65</v>
      </c>
      <c r="M141" s="190" t="s">
        <v>66</v>
      </c>
      <c r="N141" s="193" t="s">
        <v>67</v>
      </c>
    </row>
    <row r="142" spans="2:14" s="196" customFormat="1" ht="55.5" customHeight="1" x14ac:dyDescent="0.25">
      <c r="B142" s="199"/>
      <c r="C142" s="189" t="s">
        <v>214</v>
      </c>
      <c r="D142" s="190" t="s">
        <v>215</v>
      </c>
      <c r="E142" s="187" t="s">
        <v>210</v>
      </c>
      <c r="F142" s="187" t="s">
        <v>211</v>
      </c>
      <c r="G142" s="191" t="s">
        <v>212</v>
      </c>
      <c r="H142" s="191" t="s">
        <v>213</v>
      </c>
      <c r="I142" s="188">
        <v>136000000</v>
      </c>
      <c r="J142" s="192">
        <v>40000000</v>
      </c>
      <c r="K142" s="192">
        <f t="shared" si="2"/>
        <v>176000000</v>
      </c>
      <c r="L142" s="190" t="s">
        <v>65</v>
      </c>
      <c r="M142" s="190" t="s">
        <v>66</v>
      </c>
      <c r="N142" s="193" t="s">
        <v>67</v>
      </c>
    </row>
    <row r="143" spans="2:14" s="196" customFormat="1" ht="62.25" customHeight="1" x14ac:dyDescent="0.25">
      <c r="B143" s="199"/>
      <c r="C143" s="189" t="s">
        <v>216</v>
      </c>
      <c r="D143" s="190" t="s">
        <v>79</v>
      </c>
      <c r="E143" s="187" t="s">
        <v>80</v>
      </c>
      <c r="F143" s="187" t="s">
        <v>178</v>
      </c>
      <c r="G143" s="191" t="s">
        <v>179</v>
      </c>
      <c r="H143" s="191" t="s">
        <v>217</v>
      </c>
      <c r="I143" s="188">
        <v>0</v>
      </c>
      <c r="J143" s="192">
        <v>0</v>
      </c>
      <c r="K143" s="192">
        <f t="shared" si="2"/>
        <v>0</v>
      </c>
      <c r="L143" s="190" t="s">
        <v>65</v>
      </c>
      <c r="M143" s="190" t="s">
        <v>66</v>
      </c>
      <c r="N143" s="193" t="s">
        <v>67</v>
      </c>
    </row>
    <row r="144" spans="2:14" s="196" customFormat="1" ht="35.25" customHeight="1" x14ac:dyDescent="0.25">
      <c r="B144" s="199"/>
      <c r="C144" s="189" t="s">
        <v>218</v>
      </c>
      <c r="D144" s="190" t="s">
        <v>79</v>
      </c>
      <c r="E144" s="187" t="s">
        <v>219</v>
      </c>
      <c r="F144" s="187" t="s">
        <v>178</v>
      </c>
      <c r="G144" s="191" t="s">
        <v>167</v>
      </c>
      <c r="H144" s="191" t="s">
        <v>217</v>
      </c>
      <c r="I144" s="188">
        <v>20000000</v>
      </c>
      <c r="J144" s="192">
        <v>0</v>
      </c>
      <c r="K144" s="192">
        <f t="shared" si="2"/>
        <v>20000000</v>
      </c>
      <c r="L144" s="190" t="s">
        <v>65</v>
      </c>
      <c r="M144" s="190" t="s">
        <v>66</v>
      </c>
      <c r="N144" s="193" t="s">
        <v>67</v>
      </c>
    </row>
    <row r="145" spans="2:14" s="196" customFormat="1" ht="48" customHeight="1" x14ac:dyDescent="0.25">
      <c r="B145" s="199"/>
      <c r="C145" s="189" t="s">
        <v>220</v>
      </c>
      <c r="D145" s="190" t="s">
        <v>69</v>
      </c>
      <c r="E145" s="187" t="s">
        <v>62</v>
      </c>
      <c r="F145" s="187" t="s">
        <v>178</v>
      </c>
      <c r="G145" s="191" t="s">
        <v>179</v>
      </c>
      <c r="H145" s="191" t="s">
        <v>217</v>
      </c>
      <c r="I145" s="188">
        <v>0</v>
      </c>
      <c r="J145" s="188">
        <v>10000000</v>
      </c>
      <c r="K145" s="192">
        <f t="shared" si="2"/>
        <v>10000000</v>
      </c>
      <c r="L145" s="190" t="s">
        <v>65</v>
      </c>
      <c r="M145" s="190" t="s">
        <v>66</v>
      </c>
      <c r="N145" s="193" t="s">
        <v>67</v>
      </c>
    </row>
    <row r="146" spans="2:14" s="196" customFormat="1" ht="116.25" customHeight="1" x14ac:dyDescent="0.25">
      <c r="B146" s="199">
        <v>931415060</v>
      </c>
      <c r="C146" s="189" t="s">
        <v>580</v>
      </c>
      <c r="D146" s="190" t="s">
        <v>61</v>
      </c>
      <c r="E146" s="187" t="s">
        <v>189</v>
      </c>
      <c r="F146" s="187" t="s">
        <v>178</v>
      </c>
      <c r="G146" s="191" t="s">
        <v>179</v>
      </c>
      <c r="H146" s="191" t="s">
        <v>217</v>
      </c>
      <c r="I146" s="188">
        <v>14000000</v>
      </c>
      <c r="J146" s="188">
        <v>0</v>
      </c>
      <c r="K146" s="192">
        <f>+I146+J146</f>
        <v>14000000</v>
      </c>
      <c r="L146" s="190" t="s">
        <v>65</v>
      </c>
      <c r="M146" s="190" t="s">
        <v>66</v>
      </c>
      <c r="N146" s="193" t="s">
        <v>67</v>
      </c>
    </row>
    <row r="147" spans="2:14" s="196" customFormat="1" ht="65.25" customHeight="1" x14ac:dyDescent="0.25">
      <c r="B147" s="199">
        <v>931415060</v>
      </c>
      <c r="C147" s="276" t="s">
        <v>221</v>
      </c>
      <c r="D147" s="190" t="s">
        <v>207</v>
      </c>
      <c r="E147" s="187" t="s">
        <v>198</v>
      </c>
      <c r="F147" s="187" t="s">
        <v>178</v>
      </c>
      <c r="G147" s="191" t="s">
        <v>179</v>
      </c>
      <c r="H147" s="191" t="s">
        <v>217</v>
      </c>
      <c r="I147" s="188">
        <v>14000000</v>
      </c>
      <c r="J147" s="188">
        <v>0</v>
      </c>
      <c r="K147" s="192">
        <f t="shared" si="2"/>
        <v>14000000</v>
      </c>
      <c r="L147" s="190" t="s">
        <v>65</v>
      </c>
      <c r="M147" s="190" t="s">
        <v>66</v>
      </c>
      <c r="N147" s="193" t="s">
        <v>67</v>
      </c>
    </row>
    <row r="148" spans="2:14" s="196" customFormat="1" ht="35.25" customHeight="1" x14ac:dyDescent="0.25">
      <c r="B148" s="199"/>
      <c r="C148" s="189" t="s">
        <v>222</v>
      </c>
      <c r="D148" s="190" t="s">
        <v>109</v>
      </c>
      <c r="E148" s="187" t="s">
        <v>202</v>
      </c>
      <c r="F148" s="187" t="s">
        <v>178</v>
      </c>
      <c r="G148" s="191" t="s">
        <v>179</v>
      </c>
      <c r="H148" s="191" t="s">
        <v>217</v>
      </c>
      <c r="I148" s="188">
        <v>7000000</v>
      </c>
      <c r="J148" s="188">
        <v>0</v>
      </c>
      <c r="K148" s="192">
        <f>+I148+J148</f>
        <v>7000000</v>
      </c>
      <c r="L148" s="190" t="s">
        <v>65</v>
      </c>
      <c r="M148" s="190" t="s">
        <v>66</v>
      </c>
      <c r="N148" s="193" t="s">
        <v>67</v>
      </c>
    </row>
    <row r="149" spans="2:14" s="196" customFormat="1" ht="80.25" customHeight="1" x14ac:dyDescent="0.25">
      <c r="B149" s="199">
        <v>86141501</v>
      </c>
      <c r="C149" s="189" t="s">
        <v>543</v>
      </c>
      <c r="D149" s="190" t="s">
        <v>69</v>
      </c>
      <c r="E149" s="187" t="s">
        <v>62</v>
      </c>
      <c r="F149" s="187" t="s">
        <v>178</v>
      </c>
      <c r="G149" s="191" t="s">
        <v>179</v>
      </c>
      <c r="H149" s="191" t="s">
        <v>217</v>
      </c>
      <c r="I149" s="188">
        <v>40000000</v>
      </c>
      <c r="J149" s="192">
        <v>0</v>
      </c>
      <c r="K149" s="192">
        <f>+I149+J149</f>
        <v>40000000</v>
      </c>
      <c r="L149" s="190" t="s">
        <v>65</v>
      </c>
      <c r="M149" s="190" t="s">
        <v>66</v>
      </c>
      <c r="N149" s="193" t="s">
        <v>67</v>
      </c>
    </row>
    <row r="150" spans="2:14" s="196" customFormat="1" ht="83.25" customHeight="1" x14ac:dyDescent="0.25">
      <c r="B150" s="199">
        <v>86101701</v>
      </c>
      <c r="C150" s="189" t="s">
        <v>559</v>
      </c>
      <c r="D150" s="190" t="s">
        <v>69</v>
      </c>
      <c r="E150" s="187" t="s">
        <v>189</v>
      </c>
      <c r="F150" s="187" t="s">
        <v>178</v>
      </c>
      <c r="G150" s="191" t="s">
        <v>179</v>
      </c>
      <c r="H150" s="191" t="s">
        <v>217</v>
      </c>
      <c r="I150" s="188">
        <v>10000000</v>
      </c>
      <c r="J150" s="192">
        <v>0</v>
      </c>
      <c r="K150" s="192">
        <f>+I150+J150</f>
        <v>10000000</v>
      </c>
      <c r="L150" s="190" t="s">
        <v>65</v>
      </c>
      <c r="M150" s="190" t="s">
        <v>66</v>
      </c>
      <c r="N150" s="193" t="s">
        <v>67</v>
      </c>
    </row>
    <row r="151" spans="2:14" s="196" customFormat="1" ht="83.25" customHeight="1" x14ac:dyDescent="0.25">
      <c r="B151" s="199">
        <v>86141501</v>
      </c>
      <c r="C151" s="189" t="s">
        <v>558</v>
      </c>
      <c r="D151" s="190" t="s">
        <v>69</v>
      </c>
      <c r="E151" s="187" t="s">
        <v>189</v>
      </c>
      <c r="F151" s="187" t="s">
        <v>178</v>
      </c>
      <c r="G151" s="191" t="s">
        <v>179</v>
      </c>
      <c r="H151" s="191" t="s">
        <v>217</v>
      </c>
      <c r="I151" s="188">
        <v>10000000</v>
      </c>
      <c r="J151" s="192">
        <v>0</v>
      </c>
      <c r="K151" s="192">
        <f>+I151+J151</f>
        <v>10000000</v>
      </c>
      <c r="L151" s="190" t="s">
        <v>65</v>
      </c>
      <c r="M151" s="190" t="s">
        <v>66</v>
      </c>
      <c r="N151" s="193" t="s">
        <v>67</v>
      </c>
    </row>
    <row r="152" spans="2:14" s="196" customFormat="1" ht="45" customHeight="1" x14ac:dyDescent="0.25">
      <c r="B152" s="199" t="s">
        <v>542</v>
      </c>
      <c r="C152" s="276" t="s">
        <v>13</v>
      </c>
      <c r="D152" s="190" t="s">
        <v>215</v>
      </c>
      <c r="E152" s="187" t="s">
        <v>189</v>
      </c>
      <c r="F152" s="187" t="s">
        <v>178</v>
      </c>
      <c r="G152" s="191" t="s">
        <v>179</v>
      </c>
      <c r="H152" s="191" t="s">
        <v>217</v>
      </c>
      <c r="I152" s="188">
        <v>22000000</v>
      </c>
      <c r="J152" s="192">
        <v>0</v>
      </c>
      <c r="K152" s="192">
        <f t="shared" si="2"/>
        <v>22000000</v>
      </c>
      <c r="L152" s="190" t="s">
        <v>65</v>
      </c>
      <c r="M152" s="190" t="s">
        <v>66</v>
      </c>
      <c r="N152" s="193" t="s">
        <v>67</v>
      </c>
    </row>
    <row r="153" spans="2:14" s="196" customFormat="1" ht="51" customHeight="1" x14ac:dyDescent="0.25">
      <c r="B153" s="199"/>
      <c r="C153" s="189" t="s">
        <v>545</v>
      </c>
      <c r="D153" s="190" t="s">
        <v>109</v>
      </c>
      <c r="E153" s="187" t="s">
        <v>204</v>
      </c>
      <c r="F153" s="187" t="s">
        <v>178</v>
      </c>
      <c r="G153" s="191" t="s">
        <v>179</v>
      </c>
      <c r="H153" s="191" t="s">
        <v>217</v>
      </c>
      <c r="I153" s="188">
        <v>9000000</v>
      </c>
      <c r="J153" s="188">
        <f>17000000-I153</f>
        <v>8000000</v>
      </c>
      <c r="K153" s="192">
        <f t="shared" ref="K153:K162" si="9">+I153+J153</f>
        <v>17000000</v>
      </c>
      <c r="L153" s="190" t="s">
        <v>65</v>
      </c>
      <c r="M153" s="190" t="s">
        <v>66</v>
      </c>
      <c r="N153" s="193" t="s">
        <v>67</v>
      </c>
    </row>
    <row r="154" spans="2:14" s="196" customFormat="1" ht="51" customHeight="1" x14ac:dyDescent="0.25">
      <c r="B154" s="199"/>
      <c r="C154" s="189" t="s">
        <v>546</v>
      </c>
      <c r="D154" s="190" t="s">
        <v>215</v>
      </c>
      <c r="E154" s="187" t="s">
        <v>204</v>
      </c>
      <c r="F154" s="187" t="s">
        <v>178</v>
      </c>
      <c r="G154" s="191" t="s">
        <v>179</v>
      </c>
      <c r="H154" s="191" t="s">
        <v>217</v>
      </c>
      <c r="I154" s="188">
        <v>0</v>
      </c>
      <c r="J154" s="188">
        <v>17000000</v>
      </c>
      <c r="K154" s="192">
        <f t="shared" si="9"/>
        <v>17000000</v>
      </c>
      <c r="L154" s="190"/>
      <c r="M154" s="190"/>
      <c r="N154" s="193"/>
    </row>
    <row r="155" spans="2:14" s="196" customFormat="1" ht="45.75" customHeight="1" x14ac:dyDescent="0.25">
      <c r="B155" s="199"/>
      <c r="C155" s="189" t="s">
        <v>544</v>
      </c>
      <c r="D155" s="190" t="s">
        <v>215</v>
      </c>
      <c r="E155" s="187" t="s">
        <v>189</v>
      </c>
      <c r="F155" s="187" t="s">
        <v>178</v>
      </c>
      <c r="G155" s="191" t="s">
        <v>179</v>
      </c>
      <c r="H155" s="191" t="s">
        <v>217</v>
      </c>
      <c r="I155" s="188">
        <v>0</v>
      </c>
      <c r="J155" s="188">
        <v>7000000</v>
      </c>
      <c r="K155" s="192">
        <f t="shared" si="9"/>
        <v>7000000</v>
      </c>
      <c r="L155" s="190" t="s">
        <v>65</v>
      </c>
      <c r="M155" s="190" t="s">
        <v>66</v>
      </c>
      <c r="N155" s="193" t="s">
        <v>67</v>
      </c>
    </row>
    <row r="156" spans="2:14" s="196" customFormat="1" ht="45.75" customHeight="1" x14ac:dyDescent="0.25">
      <c r="B156" s="199"/>
      <c r="C156" s="189" t="s">
        <v>14</v>
      </c>
      <c r="D156" s="190" t="s">
        <v>79</v>
      </c>
      <c r="E156" s="187" t="s">
        <v>80</v>
      </c>
      <c r="F156" s="187" t="s">
        <v>178</v>
      </c>
      <c r="G156" s="191" t="s">
        <v>179</v>
      </c>
      <c r="H156" s="191" t="s">
        <v>217</v>
      </c>
      <c r="I156" s="188">
        <v>0</v>
      </c>
      <c r="J156" s="188">
        <v>1000000</v>
      </c>
      <c r="K156" s="192">
        <f t="shared" si="9"/>
        <v>1000000</v>
      </c>
      <c r="L156" s="190"/>
      <c r="M156" s="190"/>
      <c r="N156" s="193"/>
    </row>
    <row r="157" spans="2:14" s="196" customFormat="1" ht="45.75" customHeight="1" x14ac:dyDescent="0.25">
      <c r="B157" s="199"/>
      <c r="C157" s="189" t="s">
        <v>547</v>
      </c>
      <c r="D157" s="190" t="s">
        <v>79</v>
      </c>
      <c r="E157" s="187" t="s">
        <v>189</v>
      </c>
      <c r="F157" s="187" t="s">
        <v>178</v>
      </c>
      <c r="G157" s="191" t="s">
        <v>179</v>
      </c>
      <c r="H157" s="191" t="s">
        <v>217</v>
      </c>
      <c r="I157" s="188">
        <v>0</v>
      </c>
      <c r="J157" s="188">
        <v>1000000</v>
      </c>
      <c r="K157" s="192">
        <f t="shared" si="9"/>
        <v>1000000</v>
      </c>
      <c r="L157" s="190"/>
      <c r="M157" s="190"/>
      <c r="N157" s="193"/>
    </row>
    <row r="158" spans="2:14" s="196" customFormat="1" ht="57.75" customHeight="1" x14ac:dyDescent="0.25">
      <c r="B158" s="199"/>
      <c r="C158" s="189" t="s">
        <v>581</v>
      </c>
      <c r="D158" s="190" t="s">
        <v>79</v>
      </c>
      <c r="E158" s="187" t="s">
        <v>198</v>
      </c>
      <c r="F158" s="187" t="s">
        <v>178</v>
      </c>
      <c r="G158" s="191" t="s">
        <v>179</v>
      </c>
      <c r="H158" s="191" t="s">
        <v>217</v>
      </c>
      <c r="I158" s="188">
        <v>4000000</v>
      </c>
      <c r="J158" s="192">
        <v>6000000</v>
      </c>
      <c r="K158" s="192">
        <f t="shared" si="9"/>
        <v>10000000</v>
      </c>
      <c r="L158" s="190" t="s">
        <v>65</v>
      </c>
      <c r="M158" s="190" t="s">
        <v>66</v>
      </c>
      <c r="N158" s="193" t="s">
        <v>67</v>
      </c>
    </row>
    <row r="159" spans="2:14" s="196" customFormat="1" ht="45.75" customHeight="1" x14ac:dyDescent="0.25">
      <c r="B159" s="199"/>
      <c r="C159" s="189" t="s">
        <v>223</v>
      </c>
      <c r="D159" s="190" t="s">
        <v>102</v>
      </c>
      <c r="E159" s="187" t="s">
        <v>80</v>
      </c>
      <c r="F159" s="187" t="s">
        <v>178</v>
      </c>
      <c r="G159" s="191" t="s">
        <v>167</v>
      </c>
      <c r="H159" s="191" t="s">
        <v>184</v>
      </c>
      <c r="I159" s="188">
        <v>0</v>
      </c>
      <c r="J159" s="192">
        <v>44200000</v>
      </c>
      <c r="K159" s="192">
        <f t="shared" si="9"/>
        <v>44200000</v>
      </c>
      <c r="L159" s="190" t="s">
        <v>65</v>
      </c>
      <c r="M159" s="190" t="s">
        <v>66</v>
      </c>
      <c r="N159" s="193" t="s">
        <v>67</v>
      </c>
    </row>
    <row r="160" spans="2:14" s="196" customFormat="1" ht="45.75" customHeight="1" x14ac:dyDescent="0.25">
      <c r="B160" s="199"/>
      <c r="C160" s="189" t="s">
        <v>514</v>
      </c>
      <c r="D160" s="190" t="s">
        <v>76</v>
      </c>
      <c r="E160" s="187" t="s">
        <v>62</v>
      </c>
      <c r="F160" s="187" t="s">
        <v>178</v>
      </c>
      <c r="G160" s="191"/>
      <c r="H160" s="191" t="s">
        <v>184</v>
      </c>
      <c r="I160" s="188">
        <v>12010000</v>
      </c>
      <c r="J160" s="192">
        <v>0</v>
      </c>
      <c r="K160" s="192">
        <f t="shared" si="9"/>
        <v>12010000</v>
      </c>
      <c r="L160" s="190" t="s">
        <v>65</v>
      </c>
      <c r="M160" s="190" t="s">
        <v>66</v>
      </c>
      <c r="N160" s="193" t="s">
        <v>67</v>
      </c>
    </row>
    <row r="161" spans="2:14" s="196" customFormat="1" ht="49.5" customHeight="1" x14ac:dyDescent="0.25">
      <c r="B161" s="199"/>
      <c r="C161" s="189" t="s">
        <v>224</v>
      </c>
      <c r="D161" s="190" t="s">
        <v>215</v>
      </c>
      <c r="E161" s="187" t="s">
        <v>80</v>
      </c>
      <c r="F161" s="187" t="s">
        <v>178</v>
      </c>
      <c r="G161" s="191" t="s">
        <v>167</v>
      </c>
      <c r="H161" s="191" t="s">
        <v>184</v>
      </c>
      <c r="I161" s="188">
        <v>13990000</v>
      </c>
      <c r="J161" s="192">
        <v>5800000</v>
      </c>
      <c r="K161" s="192">
        <f t="shared" si="9"/>
        <v>19790000</v>
      </c>
      <c r="L161" s="190" t="s">
        <v>65</v>
      </c>
      <c r="M161" s="190" t="s">
        <v>66</v>
      </c>
      <c r="N161" s="193" t="s">
        <v>67</v>
      </c>
    </row>
    <row r="162" spans="2:14" s="196" customFormat="1" ht="64.5" customHeight="1" x14ac:dyDescent="0.25">
      <c r="B162" s="199">
        <v>81112103</v>
      </c>
      <c r="C162" s="189" t="s">
        <v>548</v>
      </c>
      <c r="D162" s="190" t="s">
        <v>69</v>
      </c>
      <c r="E162" s="187" t="s">
        <v>62</v>
      </c>
      <c r="F162" s="187" t="s">
        <v>178</v>
      </c>
      <c r="G162" s="191" t="s">
        <v>179</v>
      </c>
      <c r="H162" s="191" t="s">
        <v>184</v>
      </c>
      <c r="I162" s="188">
        <v>18000000</v>
      </c>
      <c r="J162" s="192">
        <v>0</v>
      </c>
      <c r="K162" s="192">
        <f t="shared" si="9"/>
        <v>18000000</v>
      </c>
      <c r="L162" s="190" t="s">
        <v>65</v>
      </c>
      <c r="M162" s="190" t="s">
        <v>66</v>
      </c>
      <c r="N162" s="193" t="s">
        <v>67</v>
      </c>
    </row>
    <row r="163" spans="2:14" s="196" customFormat="1" ht="47.25" customHeight="1" x14ac:dyDescent="0.25">
      <c r="B163" s="199"/>
      <c r="C163" s="189" t="s">
        <v>225</v>
      </c>
      <c r="D163" s="190" t="s">
        <v>102</v>
      </c>
      <c r="E163" s="187" t="s">
        <v>80</v>
      </c>
      <c r="F163" s="187" t="s">
        <v>178</v>
      </c>
      <c r="G163" s="191" t="s">
        <v>167</v>
      </c>
      <c r="H163" s="191" t="s">
        <v>180</v>
      </c>
      <c r="I163" s="188">
        <f>16200000-6000000</f>
        <v>10200000</v>
      </c>
      <c r="J163" s="192">
        <v>6000000</v>
      </c>
      <c r="K163" s="192">
        <f t="shared" si="2"/>
        <v>16200000</v>
      </c>
      <c r="L163" s="190" t="s">
        <v>65</v>
      </c>
      <c r="M163" s="190" t="s">
        <v>66</v>
      </c>
      <c r="N163" s="193" t="s">
        <v>67</v>
      </c>
    </row>
    <row r="164" spans="2:14" s="196" customFormat="1" ht="47.25" customHeight="1" x14ac:dyDescent="0.25">
      <c r="B164" s="199"/>
      <c r="C164" s="189" t="s">
        <v>226</v>
      </c>
      <c r="D164" s="190" t="s">
        <v>109</v>
      </c>
      <c r="E164" s="187" t="s">
        <v>80</v>
      </c>
      <c r="F164" s="187" t="s">
        <v>178</v>
      </c>
      <c r="G164" s="191" t="s">
        <v>167</v>
      </c>
      <c r="H164" s="191" t="s">
        <v>180</v>
      </c>
      <c r="I164" s="188">
        <v>13000000</v>
      </c>
      <c r="J164" s="192">
        <v>2000000</v>
      </c>
      <c r="K164" s="192">
        <f t="shared" si="2"/>
        <v>15000000</v>
      </c>
      <c r="L164" s="190" t="s">
        <v>65</v>
      </c>
      <c r="M164" s="190" t="s">
        <v>66</v>
      </c>
      <c r="N164" s="193" t="s">
        <v>67</v>
      </c>
    </row>
    <row r="165" spans="2:14" s="196" customFormat="1" ht="84.75" customHeight="1" x14ac:dyDescent="0.25">
      <c r="B165" s="199"/>
      <c r="C165" s="189" t="s">
        <v>227</v>
      </c>
      <c r="D165" s="190" t="s">
        <v>102</v>
      </c>
      <c r="E165" s="187" t="s">
        <v>172</v>
      </c>
      <c r="F165" s="187" t="s">
        <v>178</v>
      </c>
      <c r="G165" s="191" t="s">
        <v>179</v>
      </c>
      <c r="H165" s="191" t="s">
        <v>228</v>
      </c>
      <c r="I165" s="188">
        <v>25000000</v>
      </c>
      <c r="J165" s="192">
        <v>25000000</v>
      </c>
      <c r="K165" s="192">
        <f t="shared" si="2"/>
        <v>50000000</v>
      </c>
      <c r="L165" s="190" t="s">
        <v>65</v>
      </c>
      <c r="M165" s="190" t="s">
        <v>66</v>
      </c>
      <c r="N165" s="193" t="s">
        <v>67</v>
      </c>
    </row>
    <row r="166" spans="2:14" s="196" customFormat="1" ht="63" customHeight="1" x14ac:dyDescent="0.25">
      <c r="B166" s="199"/>
      <c r="C166" s="189" t="s">
        <v>229</v>
      </c>
      <c r="D166" s="190" t="s">
        <v>79</v>
      </c>
      <c r="E166" s="187" t="s">
        <v>230</v>
      </c>
      <c r="F166" s="187" t="s">
        <v>178</v>
      </c>
      <c r="G166" s="191" t="s">
        <v>179</v>
      </c>
      <c r="H166" s="191" t="s">
        <v>228</v>
      </c>
      <c r="I166" s="188">
        <v>5000000</v>
      </c>
      <c r="J166" s="192">
        <v>5000000</v>
      </c>
      <c r="K166" s="192">
        <f t="shared" si="2"/>
        <v>10000000</v>
      </c>
      <c r="L166" s="190" t="s">
        <v>65</v>
      </c>
      <c r="M166" s="190" t="s">
        <v>66</v>
      </c>
      <c r="N166" s="193" t="s">
        <v>67</v>
      </c>
    </row>
    <row r="167" spans="2:14" s="196" customFormat="1" ht="69" customHeight="1" x14ac:dyDescent="0.25">
      <c r="B167" s="199"/>
      <c r="C167" s="189" t="s">
        <v>231</v>
      </c>
      <c r="D167" s="190" t="s">
        <v>207</v>
      </c>
      <c r="E167" s="187" t="s">
        <v>204</v>
      </c>
      <c r="F167" s="187" t="s">
        <v>178</v>
      </c>
      <c r="G167" s="191" t="s">
        <v>179</v>
      </c>
      <c r="H167" s="191" t="s">
        <v>228</v>
      </c>
      <c r="I167" s="188">
        <v>2500000</v>
      </c>
      <c r="J167" s="192">
        <v>2500000</v>
      </c>
      <c r="K167" s="192">
        <f t="shared" si="2"/>
        <v>5000000</v>
      </c>
      <c r="L167" s="190" t="s">
        <v>65</v>
      </c>
      <c r="M167" s="190" t="s">
        <v>66</v>
      </c>
      <c r="N167" s="193" t="s">
        <v>67</v>
      </c>
    </row>
    <row r="168" spans="2:14" s="196" customFormat="1" ht="69" customHeight="1" x14ac:dyDescent="0.25">
      <c r="B168" s="199"/>
      <c r="C168" s="189" t="s">
        <v>232</v>
      </c>
      <c r="D168" s="190" t="s">
        <v>233</v>
      </c>
      <c r="E168" s="187" t="s">
        <v>198</v>
      </c>
      <c r="F168" s="187" t="s">
        <v>178</v>
      </c>
      <c r="G168" s="191" t="s">
        <v>179</v>
      </c>
      <c r="H168" s="191" t="s">
        <v>228</v>
      </c>
      <c r="I168" s="188">
        <v>17500000</v>
      </c>
      <c r="J168" s="192">
        <v>17500000</v>
      </c>
      <c r="K168" s="192">
        <f t="shared" si="2"/>
        <v>35000000</v>
      </c>
      <c r="L168" s="190" t="s">
        <v>65</v>
      </c>
      <c r="M168" s="190" t="s">
        <v>66</v>
      </c>
      <c r="N168" s="193" t="s">
        <v>67</v>
      </c>
    </row>
    <row r="169" spans="2:14" s="196" customFormat="1" ht="50.25" customHeight="1" x14ac:dyDescent="0.25">
      <c r="B169" s="199"/>
      <c r="C169" s="189" t="s">
        <v>539</v>
      </c>
      <c r="D169" s="190" t="s">
        <v>190</v>
      </c>
      <c r="E169" s="187" t="s">
        <v>198</v>
      </c>
      <c r="F169" s="187" t="s">
        <v>178</v>
      </c>
      <c r="G169" s="191" t="s">
        <v>179</v>
      </c>
      <c r="H169" s="191" t="s">
        <v>234</v>
      </c>
      <c r="I169" s="188">
        <v>3000000</v>
      </c>
      <c r="J169" s="188">
        <v>0</v>
      </c>
      <c r="K169" s="192">
        <f t="shared" si="2"/>
        <v>3000000</v>
      </c>
      <c r="L169" s="190" t="s">
        <v>65</v>
      </c>
      <c r="M169" s="190" t="s">
        <v>66</v>
      </c>
      <c r="N169" s="193" t="s">
        <v>67</v>
      </c>
    </row>
    <row r="170" spans="2:14" s="196" customFormat="1" ht="63.75" customHeight="1" x14ac:dyDescent="0.25">
      <c r="B170" s="199">
        <v>93141506</v>
      </c>
      <c r="C170" s="189" t="s">
        <v>541</v>
      </c>
      <c r="D170" s="190" t="s">
        <v>69</v>
      </c>
      <c r="E170" s="187" t="s">
        <v>204</v>
      </c>
      <c r="F170" s="187" t="s">
        <v>178</v>
      </c>
      <c r="G170" s="191" t="s">
        <v>179</v>
      </c>
      <c r="H170" s="191" t="s">
        <v>234</v>
      </c>
      <c r="I170" s="202">
        <v>8000000</v>
      </c>
      <c r="J170" s="188">
        <v>0</v>
      </c>
      <c r="K170" s="192">
        <f>+I170+J170</f>
        <v>8000000</v>
      </c>
      <c r="L170" s="190" t="s">
        <v>65</v>
      </c>
      <c r="M170" s="190" t="s">
        <v>66</v>
      </c>
      <c r="N170" s="193" t="s">
        <v>67</v>
      </c>
    </row>
    <row r="171" spans="2:14" s="196" customFormat="1" ht="35.25" customHeight="1" x14ac:dyDescent="0.25">
      <c r="B171" s="199">
        <v>93141506</v>
      </c>
      <c r="C171" s="276" t="s">
        <v>20</v>
      </c>
      <c r="D171" s="190" t="s">
        <v>215</v>
      </c>
      <c r="E171" s="187" t="s">
        <v>204</v>
      </c>
      <c r="F171" s="187" t="s">
        <v>178</v>
      </c>
      <c r="G171" s="191" t="s">
        <v>179</v>
      </c>
      <c r="H171" s="191" t="s">
        <v>234</v>
      </c>
      <c r="I171" s="202">
        <v>8000000</v>
      </c>
      <c r="J171" s="188">
        <v>0</v>
      </c>
      <c r="K171" s="192">
        <f t="shared" si="2"/>
        <v>8000000</v>
      </c>
      <c r="L171" s="190" t="s">
        <v>65</v>
      </c>
      <c r="M171" s="190" t="s">
        <v>66</v>
      </c>
      <c r="N171" s="193" t="s">
        <v>67</v>
      </c>
    </row>
    <row r="172" spans="2:14" s="196" customFormat="1" ht="51" customHeight="1" x14ac:dyDescent="0.25">
      <c r="B172" s="199">
        <v>93141506</v>
      </c>
      <c r="C172" s="189" t="s">
        <v>540</v>
      </c>
      <c r="D172" s="190" t="s">
        <v>69</v>
      </c>
      <c r="E172" s="187" t="s">
        <v>204</v>
      </c>
      <c r="F172" s="187" t="s">
        <v>178</v>
      </c>
      <c r="G172" s="191" t="s">
        <v>179</v>
      </c>
      <c r="H172" s="191" t="s">
        <v>234</v>
      </c>
      <c r="I172" s="202">
        <v>11200000</v>
      </c>
      <c r="J172" s="192">
        <v>0</v>
      </c>
      <c r="K172" s="192">
        <f>+I172+J172</f>
        <v>11200000</v>
      </c>
      <c r="L172" s="190" t="s">
        <v>65</v>
      </c>
      <c r="M172" s="190" t="s">
        <v>66</v>
      </c>
      <c r="N172" s="193" t="s">
        <v>67</v>
      </c>
    </row>
    <row r="173" spans="2:14" s="196" customFormat="1" ht="35.25" customHeight="1" x14ac:dyDescent="0.25">
      <c r="B173" s="199">
        <v>93141506</v>
      </c>
      <c r="C173" s="276" t="s">
        <v>22</v>
      </c>
      <c r="D173" s="190" t="s">
        <v>102</v>
      </c>
      <c r="E173" s="187" t="s">
        <v>204</v>
      </c>
      <c r="F173" s="187" t="s">
        <v>178</v>
      </c>
      <c r="G173" s="191" t="s">
        <v>179</v>
      </c>
      <c r="H173" s="191" t="s">
        <v>234</v>
      </c>
      <c r="I173" s="202">
        <v>11000000</v>
      </c>
      <c r="J173" s="192">
        <v>0</v>
      </c>
      <c r="K173" s="192">
        <f t="shared" si="2"/>
        <v>11000000</v>
      </c>
      <c r="L173" s="190" t="s">
        <v>65</v>
      </c>
      <c r="M173" s="190" t="s">
        <v>66</v>
      </c>
      <c r="N173" s="193" t="s">
        <v>67</v>
      </c>
    </row>
    <row r="174" spans="2:14" s="196" customFormat="1" ht="35.25" customHeight="1" x14ac:dyDescent="0.25">
      <c r="B174" s="199"/>
      <c r="C174" s="189" t="s">
        <v>23</v>
      </c>
      <c r="D174" s="190" t="s">
        <v>233</v>
      </c>
      <c r="E174" s="187" t="s">
        <v>80</v>
      </c>
      <c r="F174" s="187" t="s">
        <v>178</v>
      </c>
      <c r="G174" s="191" t="s">
        <v>179</v>
      </c>
      <c r="H174" s="191" t="s">
        <v>234</v>
      </c>
      <c r="I174" s="202">
        <v>2000000</v>
      </c>
      <c r="J174" s="188">
        <v>0</v>
      </c>
      <c r="K174" s="192">
        <f t="shared" si="2"/>
        <v>2000000</v>
      </c>
      <c r="L174" s="190" t="s">
        <v>65</v>
      </c>
      <c r="M174" s="190" t="s">
        <v>66</v>
      </c>
      <c r="N174" s="193" t="s">
        <v>67</v>
      </c>
    </row>
    <row r="175" spans="2:14" s="196" customFormat="1" ht="78" customHeight="1" x14ac:dyDescent="0.25">
      <c r="B175" s="199"/>
      <c r="C175" s="189" t="s">
        <v>21</v>
      </c>
      <c r="D175" s="190" t="s">
        <v>109</v>
      </c>
      <c r="E175" s="187" t="s">
        <v>198</v>
      </c>
      <c r="F175" s="187" t="s">
        <v>178</v>
      </c>
      <c r="G175" s="191" t="s">
        <v>179</v>
      </c>
      <c r="H175" s="191" t="s">
        <v>234</v>
      </c>
      <c r="I175" s="202">
        <v>1000000</v>
      </c>
      <c r="J175" s="192">
        <v>0</v>
      </c>
      <c r="K175" s="192">
        <f t="shared" si="2"/>
        <v>1000000</v>
      </c>
      <c r="L175" s="190" t="s">
        <v>65</v>
      </c>
      <c r="M175" s="190" t="s">
        <v>66</v>
      </c>
      <c r="N175" s="193" t="s">
        <v>67</v>
      </c>
    </row>
    <row r="176" spans="2:14" s="196" customFormat="1" ht="35.25" customHeight="1" x14ac:dyDescent="0.25">
      <c r="B176" s="199"/>
      <c r="C176" s="189" t="s">
        <v>16</v>
      </c>
      <c r="D176" s="190" t="s">
        <v>79</v>
      </c>
      <c r="E176" s="187" t="s">
        <v>80</v>
      </c>
      <c r="F176" s="187" t="s">
        <v>178</v>
      </c>
      <c r="G176" s="191" t="s">
        <v>167</v>
      </c>
      <c r="H176" s="191" t="s">
        <v>234</v>
      </c>
      <c r="I176" s="202">
        <v>1000000</v>
      </c>
      <c r="J176" s="192">
        <v>0</v>
      </c>
      <c r="K176" s="192">
        <f t="shared" si="2"/>
        <v>1000000</v>
      </c>
      <c r="L176" s="190" t="s">
        <v>65</v>
      </c>
      <c r="M176" s="190" t="s">
        <v>66</v>
      </c>
      <c r="N176" s="193" t="s">
        <v>67</v>
      </c>
    </row>
    <row r="177" spans="2:14" s="196" customFormat="1" ht="35.25" customHeight="1" x14ac:dyDescent="0.25">
      <c r="B177" s="199"/>
      <c r="C177" s="189" t="s">
        <v>19</v>
      </c>
      <c r="D177" s="190" t="s">
        <v>102</v>
      </c>
      <c r="E177" s="187" t="s">
        <v>204</v>
      </c>
      <c r="F177" s="187" t="s">
        <v>178</v>
      </c>
      <c r="G177" s="191" t="s">
        <v>179</v>
      </c>
      <c r="H177" s="191" t="s">
        <v>234</v>
      </c>
      <c r="I177" s="202">
        <v>2000000</v>
      </c>
      <c r="J177" s="192">
        <v>0</v>
      </c>
      <c r="K177" s="192">
        <f t="shared" ref="K177:K178" si="10">+I177+J177</f>
        <v>2000000</v>
      </c>
      <c r="L177" s="190" t="s">
        <v>65</v>
      </c>
      <c r="M177" s="190" t="s">
        <v>66</v>
      </c>
      <c r="N177" s="193" t="s">
        <v>67</v>
      </c>
    </row>
    <row r="178" spans="2:14" s="196" customFormat="1" ht="38.25" customHeight="1" x14ac:dyDescent="0.25">
      <c r="B178" s="199"/>
      <c r="C178" s="189" t="s">
        <v>24</v>
      </c>
      <c r="D178" s="190" t="s">
        <v>102</v>
      </c>
      <c r="E178" s="187" t="s">
        <v>204</v>
      </c>
      <c r="F178" s="187" t="s">
        <v>178</v>
      </c>
      <c r="G178" s="191" t="s">
        <v>179</v>
      </c>
      <c r="H178" s="191" t="s">
        <v>234</v>
      </c>
      <c r="I178" s="202">
        <v>1800000</v>
      </c>
      <c r="J178" s="192">
        <v>0</v>
      </c>
      <c r="K178" s="192">
        <f t="shared" si="10"/>
        <v>1800000</v>
      </c>
      <c r="L178" s="190" t="s">
        <v>65</v>
      </c>
      <c r="M178" s="190" t="s">
        <v>66</v>
      </c>
      <c r="N178" s="193" t="s">
        <v>67</v>
      </c>
    </row>
    <row r="179" spans="2:14" s="196" customFormat="1" ht="78.75" customHeight="1" x14ac:dyDescent="0.25">
      <c r="B179" s="199"/>
      <c r="C179" s="189" t="s">
        <v>17</v>
      </c>
      <c r="D179" s="190" t="s">
        <v>102</v>
      </c>
      <c r="E179" s="187" t="s">
        <v>204</v>
      </c>
      <c r="F179" s="187" t="s">
        <v>178</v>
      </c>
      <c r="G179" s="191" t="s">
        <v>179</v>
      </c>
      <c r="H179" s="191" t="s">
        <v>234</v>
      </c>
      <c r="I179" s="202">
        <v>1000000</v>
      </c>
      <c r="J179" s="192">
        <v>0</v>
      </c>
      <c r="K179" s="192">
        <f t="shared" si="2"/>
        <v>1000000</v>
      </c>
      <c r="L179" s="190" t="s">
        <v>65</v>
      </c>
      <c r="M179" s="190" t="s">
        <v>66</v>
      </c>
      <c r="N179" s="193" t="s">
        <v>67</v>
      </c>
    </row>
    <row r="180" spans="2:14" s="196" customFormat="1" ht="67.5" customHeight="1" x14ac:dyDescent="0.25">
      <c r="B180" s="199"/>
      <c r="C180" s="197" t="s">
        <v>550</v>
      </c>
      <c r="D180" s="190" t="s">
        <v>207</v>
      </c>
      <c r="E180" s="187" t="s">
        <v>172</v>
      </c>
      <c r="F180" s="187" t="s">
        <v>178</v>
      </c>
      <c r="G180" s="191" t="s">
        <v>179</v>
      </c>
      <c r="H180" s="191" t="s">
        <v>235</v>
      </c>
      <c r="I180" s="192">
        <v>0</v>
      </c>
      <c r="J180" s="192">
        <v>15000000</v>
      </c>
      <c r="K180" s="192">
        <f t="shared" si="2"/>
        <v>15000000</v>
      </c>
      <c r="L180" s="190" t="s">
        <v>65</v>
      </c>
      <c r="M180" s="190" t="s">
        <v>66</v>
      </c>
      <c r="N180" s="193" t="s">
        <v>67</v>
      </c>
    </row>
    <row r="181" spans="2:14" s="196" customFormat="1" ht="57" customHeight="1" x14ac:dyDescent="0.25">
      <c r="B181" s="199"/>
      <c r="C181" s="197" t="s">
        <v>551</v>
      </c>
      <c r="D181" s="190" t="s">
        <v>102</v>
      </c>
      <c r="E181" s="187" t="s">
        <v>236</v>
      </c>
      <c r="F181" s="187" t="s">
        <v>178</v>
      </c>
      <c r="G181" s="191" t="s">
        <v>179</v>
      </c>
      <c r="H181" s="191" t="s">
        <v>235</v>
      </c>
      <c r="I181" s="192">
        <v>8000000</v>
      </c>
      <c r="J181" s="188">
        <v>0</v>
      </c>
      <c r="K181" s="192">
        <f t="shared" si="2"/>
        <v>8000000</v>
      </c>
      <c r="L181" s="190" t="s">
        <v>65</v>
      </c>
      <c r="M181" s="190" t="s">
        <v>66</v>
      </c>
      <c r="N181" s="193" t="s">
        <v>67</v>
      </c>
    </row>
    <row r="182" spans="2:14" s="196" customFormat="1" ht="57" customHeight="1" x14ac:dyDescent="0.25">
      <c r="B182" s="199"/>
      <c r="C182" s="189" t="s">
        <v>237</v>
      </c>
      <c r="D182" s="190" t="s">
        <v>207</v>
      </c>
      <c r="E182" s="187" t="s">
        <v>204</v>
      </c>
      <c r="F182" s="187" t="s">
        <v>178</v>
      </c>
      <c r="G182" s="191" t="s">
        <v>179</v>
      </c>
      <c r="H182" s="191" t="s">
        <v>235</v>
      </c>
      <c r="I182" s="192">
        <v>8000000</v>
      </c>
      <c r="J182" s="188">
        <v>0</v>
      </c>
      <c r="K182" s="192">
        <f t="shared" ref="K182" si="11">+I182+J182</f>
        <v>8000000</v>
      </c>
      <c r="L182" s="190" t="s">
        <v>65</v>
      </c>
      <c r="M182" s="190" t="s">
        <v>66</v>
      </c>
      <c r="N182" s="193" t="s">
        <v>67</v>
      </c>
    </row>
    <row r="183" spans="2:14" s="196" customFormat="1" ht="70.5" customHeight="1" x14ac:dyDescent="0.25">
      <c r="B183" s="199" t="s">
        <v>503</v>
      </c>
      <c r="C183" s="189" t="s">
        <v>557</v>
      </c>
      <c r="D183" s="190" t="s">
        <v>69</v>
      </c>
      <c r="E183" s="187" t="s">
        <v>230</v>
      </c>
      <c r="F183" s="187" t="s">
        <v>178</v>
      </c>
      <c r="G183" s="191" t="s">
        <v>179</v>
      </c>
      <c r="H183" s="191" t="s">
        <v>235</v>
      </c>
      <c r="I183" s="192">
        <v>4000000</v>
      </c>
      <c r="J183" s="188">
        <v>0</v>
      </c>
      <c r="K183" s="192">
        <f t="shared" si="2"/>
        <v>4000000</v>
      </c>
      <c r="L183" s="190" t="s">
        <v>65</v>
      </c>
      <c r="M183" s="190" t="s">
        <v>66</v>
      </c>
      <c r="N183" s="193" t="s">
        <v>67</v>
      </c>
    </row>
    <row r="184" spans="2:14" s="196" customFormat="1" ht="78" customHeight="1" x14ac:dyDescent="0.25">
      <c r="B184" s="199"/>
      <c r="C184" s="189" t="s">
        <v>574</v>
      </c>
      <c r="D184" s="190" t="s">
        <v>215</v>
      </c>
      <c r="E184" s="187" t="s">
        <v>189</v>
      </c>
      <c r="F184" s="187" t="s">
        <v>178</v>
      </c>
      <c r="G184" s="191" t="s">
        <v>179</v>
      </c>
      <c r="H184" s="191" t="s">
        <v>235</v>
      </c>
      <c r="I184" s="192">
        <v>0</v>
      </c>
      <c r="J184" s="192">
        <v>15000000</v>
      </c>
      <c r="K184" s="192">
        <f t="shared" ref="K184:K198" si="12">+I184+J184</f>
        <v>15000000</v>
      </c>
      <c r="L184" s="190" t="s">
        <v>65</v>
      </c>
      <c r="M184" s="190" t="s">
        <v>66</v>
      </c>
      <c r="N184" s="193" t="s">
        <v>67</v>
      </c>
    </row>
    <row r="185" spans="2:14" s="196" customFormat="1" ht="65.25" customHeight="1" x14ac:dyDescent="0.25">
      <c r="B185" s="214">
        <v>86101710</v>
      </c>
      <c r="C185" s="189" t="s">
        <v>553</v>
      </c>
      <c r="D185" s="190" t="s">
        <v>87</v>
      </c>
      <c r="E185" s="187" t="s">
        <v>110</v>
      </c>
      <c r="F185" s="187" t="s">
        <v>178</v>
      </c>
      <c r="G185" s="191" t="s">
        <v>179</v>
      </c>
      <c r="H185" s="191" t="s">
        <v>235</v>
      </c>
      <c r="I185" s="188">
        <v>12000000</v>
      </c>
      <c r="J185" s="192">
        <v>0</v>
      </c>
      <c r="K185" s="192">
        <f>+I185+J185</f>
        <v>12000000</v>
      </c>
      <c r="L185" s="190" t="s">
        <v>65</v>
      </c>
      <c r="M185" s="190" t="s">
        <v>66</v>
      </c>
      <c r="N185" s="193" t="s">
        <v>67</v>
      </c>
    </row>
    <row r="186" spans="2:14" s="196" customFormat="1" ht="52.5" customHeight="1" x14ac:dyDescent="0.25">
      <c r="B186" s="214">
        <v>86101710</v>
      </c>
      <c r="C186" s="189" t="s">
        <v>552</v>
      </c>
      <c r="D186" s="190" t="s">
        <v>109</v>
      </c>
      <c r="E186" s="187" t="s">
        <v>505</v>
      </c>
      <c r="F186" s="187" t="s">
        <v>178</v>
      </c>
      <c r="G186" s="191" t="s">
        <v>179</v>
      </c>
      <c r="H186" s="191" t="s">
        <v>235</v>
      </c>
      <c r="I186" s="188">
        <v>6000000</v>
      </c>
      <c r="J186" s="192">
        <v>0</v>
      </c>
      <c r="K186" s="192">
        <f t="shared" si="12"/>
        <v>6000000</v>
      </c>
      <c r="L186" s="190" t="s">
        <v>65</v>
      </c>
      <c r="M186" s="190" t="s">
        <v>66</v>
      </c>
      <c r="N186" s="193" t="s">
        <v>67</v>
      </c>
    </row>
    <row r="187" spans="2:14" s="196" customFormat="1" ht="82.5" customHeight="1" x14ac:dyDescent="0.25">
      <c r="B187" s="214">
        <v>86111701</v>
      </c>
      <c r="C187" s="189" t="s">
        <v>555</v>
      </c>
      <c r="D187" s="190" t="s">
        <v>69</v>
      </c>
      <c r="E187" s="187" t="s">
        <v>554</v>
      </c>
      <c r="F187" s="187" t="s">
        <v>178</v>
      </c>
      <c r="G187" s="191" t="s">
        <v>179</v>
      </c>
      <c r="H187" s="191" t="s">
        <v>235</v>
      </c>
      <c r="I187" s="188">
        <v>13200000</v>
      </c>
      <c r="J187" s="192">
        <v>0</v>
      </c>
      <c r="K187" s="192">
        <f>+I187+J187</f>
        <v>13200000</v>
      </c>
      <c r="L187" s="190" t="s">
        <v>65</v>
      </c>
      <c r="M187" s="190" t="s">
        <v>66</v>
      </c>
      <c r="N187" s="193" t="s">
        <v>67</v>
      </c>
    </row>
    <row r="188" spans="2:14" s="196" customFormat="1" ht="79.5" customHeight="1" x14ac:dyDescent="0.25">
      <c r="B188" s="214">
        <v>86111701</v>
      </c>
      <c r="C188" s="189" t="s">
        <v>572</v>
      </c>
      <c r="D188" s="190" t="s">
        <v>69</v>
      </c>
      <c r="E188" s="187" t="s">
        <v>554</v>
      </c>
      <c r="F188" s="187" t="s">
        <v>178</v>
      </c>
      <c r="G188" s="191" t="s">
        <v>179</v>
      </c>
      <c r="H188" s="191" t="s">
        <v>235</v>
      </c>
      <c r="I188" s="188">
        <v>13900000</v>
      </c>
      <c r="J188" s="192">
        <v>0</v>
      </c>
      <c r="K188" s="192">
        <f>+I188+J188</f>
        <v>13900000</v>
      </c>
      <c r="L188" s="190" t="s">
        <v>65</v>
      </c>
      <c r="M188" s="190" t="s">
        <v>66</v>
      </c>
      <c r="N188" s="193" t="s">
        <v>67</v>
      </c>
    </row>
    <row r="189" spans="2:14" s="196" customFormat="1" ht="65.25" customHeight="1" x14ac:dyDescent="0.25">
      <c r="B189" s="214">
        <v>86111701</v>
      </c>
      <c r="C189" s="189" t="s">
        <v>238</v>
      </c>
      <c r="D189" s="190" t="s">
        <v>102</v>
      </c>
      <c r="E189" s="187" t="s">
        <v>554</v>
      </c>
      <c r="F189" s="187" t="s">
        <v>178</v>
      </c>
      <c r="G189" s="191" t="s">
        <v>179</v>
      </c>
      <c r="H189" s="191" t="s">
        <v>235</v>
      </c>
      <c r="I189" s="188">
        <v>14900000</v>
      </c>
      <c r="J189" s="192">
        <v>0</v>
      </c>
      <c r="K189" s="192">
        <f t="shared" ref="K189" si="13">+I189+J189</f>
        <v>14900000</v>
      </c>
      <c r="L189" s="190" t="s">
        <v>65</v>
      </c>
      <c r="M189" s="190" t="s">
        <v>66</v>
      </c>
      <c r="N189" s="193" t="s">
        <v>67</v>
      </c>
    </row>
    <row r="190" spans="2:14" s="196" customFormat="1" ht="99.75" customHeight="1" x14ac:dyDescent="0.25">
      <c r="B190" s="199"/>
      <c r="C190" s="189" t="s">
        <v>239</v>
      </c>
      <c r="D190" s="190" t="s">
        <v>79</v>
      </c>
      <c r="E190" s="187" t="s">
        <v>202</v>
      </c>
      <c r="F190" s="187" t="s">
        <v>178</v>
      </c>
      <c r="G190" s="191" t="s">
        <v>179</v>
      </c>
      <c r="H190" s="191" t="s">
        <v>187</v>
      </c>
      <c r="I190" s="188">
        <v>17000000</v>
      </c>
      <c r="J190" s="192">
        <v>11000000</v>
      </c>
      <c r="K190" s="192">
        <f t="shared" si="12"/>
        <v>28000000</v>
      </c>
      <c r="L190" s="190" t="s">
        <v>65</v>
      </c>
      <c r="M190" s="190" t="s">
        <v>66</v>
      </c>
      <c r="N190" s="193" t="s">
        <v>67</v>
      </c>
    </row>
    <row r="191" spans="2:14" s="196" customFormat="1" ht="60.75" customHeight="1" x14ac:dyDescent="0.25">
      <c r="B191" s="199"/>
      <c r="C191" s="189" t="s">
        <v>240</v>
      </c>
      <c r="D191" s="190" t="s">
        <v>69</v>
      </c>
      <c r="E191" s="187" t="s">
        <v>241</v>
      </c>
      <c r="F191" s="187" t="s">
        <v>178</v>
      </c>
      <c r="G191" s="191" t="s">
        <v>167</v>
      </c>
      <c r="H191" s="191" t="s">
        <v>187</v>
      </c>
      <c r="I191" s="188">
        <v>20000000</v>
      </c>
      <c r="J191" s="192">
        <v>0</v>
      </c>
      <c r="K191" s="192">
        <f t="shared" si="12"/>
        <v>20000000</v>
      </c>
      <c r="L191" s="190" t="s">
        <v>65</v>
      </c>
      <c r="M191" s="190" t="s">
        <v>66</v>
      </c>
      <c r="N191" s="193" t="s">
        <v>67</v>
      </c>
    </row>
    <row r="192" spans="2:14" s="196" customFormat="1" ht="35.25" customHeight="1" x14ac:dyDescent="0.25">
      <c r="B192" s="199"/>
      <c r="C192" s="189" t="s">
        <v>242</v>
      </c>
      <c r="D192" s="190" t="s">
        <v>233</v>
      </c>
      <c r="E192" s="187" t="s">
        <v>80</v>
      </c>
      <c r="F192" s="187" t="s">
        <v>178</v>
      </c>
      <c r="G192" s="191" t="s">
        <v>179</v>
      </c>
      <c r="H192" s="191" t="s">
        <v>187</v>
      </c>
      <c r="I192" s="188">
        <v>25000000</v>
      </c>
      <c r="J192" s="192">
        <v>0</v>
      </c>
      <c r="K192" s="192">
        <f t="shared" si="12"/>
        <v>25000000</v>
      </c>
      <c r="L192" s="190" t="s">
        <v>65</v>
      </c>
      <c r="M192" s="190" t="s">
        <v>66</v>
      </c>
      <c r="N192" s="193" t="s">
        <v>67</v>
      </c>
    </row>
    <row r="193" spans="2:14" s="196" customFormat="1" ht="64.5" customHeight="1" x14ac:dyDescent="0.25">
      <c r="B193" s="199"/>
      <c r="C193" s="189" t="s">
        <v>243</v>
      </c>
      <c r="D193" s="190" t="s">
        <v>215</v>
      </c>
      <c r="E193" s="187" t="s">
        <v>198</v>
      </c>
      <c r="F193" s="187" t="s">
        <v>178</v>
      </c>
      <c r="G193" s="191" t="s">
        <v>179</v>
      </c>
      <c r="H193" s="191" t="s">
        <v>187</v>
      </c>
      <c r="I193" s="188">
        <v>0</v>
      </c>
      <c r="J193" s="192">
        <v>21000000</v>
      </c>
      <c r="K193" s="192">
        <f t="shared" si="12"/>
        <v>21000000</v>
      </c>
      <c r="L193" s="190" t="s">
        <v>65</v>
      </c>
      <c r="M193" s="190" t="s">
        <v>66</v>
      </c>
      <c r="N193" s="193" t="s">
        <v>67</v>
      </c>
    </row>
    <row r="194" spans="2:14" s="196" customFormat="1" ht="55.5" customHeight="1" x14ac:dyDescent="0.25">
      <c r="B194" s="199"/>
      <c r="C194" s="189" t="s">
        <v>244</v>
      </c>
      <c r="D194" s="190" t="s">
        <v>79</v>
      </c>
      <c r="E194" s="187" t="s">
        <v>204</v>
      </c>
      <c r="F194" s="187" t="s">
        <v>178</v>
      </c>
      <c r="G194" s="191" t="s">
        <v>179</v>
      </c>
      <c r="H194" s="191" t="s">
        <v>187</v>
      </c>
      <c r="I194" s="188">
        <v>0</v>
      </c>
      <c r="J194" s="192">
        <v>6000000</v>
      </c>
      <c r="K194" s="192">
        <f t="shared" si="12"/>
        <v>6000000</v>
      </c>
      <c r="L194" s="190" t="s">
        <v>65</v>
      </c>
      <c r="M194" s="190" t="s">
        <v>66</v>
      </c>
      <c r="N194" s="193" t="s">
        <v>67</v>
      </c>
    </row>
    <row r="195" spans="2:14" s="196" customFormat="1" ht="73.5" customHeight="1" x14ac:dyDescent="0.25">
      <c r="B195" s="214">
        <v>82101802</v>
      </c>
      <c r="C195" s="189" t="s">
        <v>561</v>
      </c>
      <c r="D195" s="190" t="s">
        <v>69</v>
      </c>
      <c r="E195" s="187" t="s">
        <v>198</v>
      </c>
      <c r="F195" s="187" t="s">
        <v>178</v>
      </c>
      <c r="G195" s="191" t="s">
        <v>179</v>
      </c>
      <c r="H195" s="191" t="s">
        <v>187</v>
      </c>
      <c r="I195" s="188">
        <v>6600000</v>
      </c>
      <c r="J195" s="192">
        <v>0</v>
      </c>
      <c r="K195" s="192">
        <f>+I195+J195</f>
        <v>6600000</v>
      </c>
      <c r="L195" s="190" t="s">
        <v>65</v>
      </c>
      <c r="M195" s="190" t="s">
        <v>66</v>
      </c>
      <c r="N195" s="193" t="s">
        <v>67</v>
      </c>
    </row>
    <row r="196" spans="2:14" s="196" customFormat="1" ht="73.5" customHeight="1" x14ac:dyDescent="0.25">
      <c r="B196" s="214" t="s">
        <v>245</v>
      </c>
      <c r="C196" s="189" t="s">
        <v>246</v>
      </c>
      <c r="D196" s="190" t="s">
        <v>79</v>
      </c>
      <c r="E196" s="187" t="s">
        <v>189</v>
      </c>
      <c r="F196" s="187" t="s">
        <v>178</v>
      </c>
      <c r="G196" s="191" t="s">
        <v>179</v>
      </c>
      <c r="H196" s="191" t="s">
        <v>187</v>
      </c>
      <c r="I196" s="188">
        <v>8400000</v>
      </c>
      <c r="J196" s="192">
        <v>0</v>
      </c>
      <c r="K196" s="192">
        <f>+I196+J196</f>
        <v>8400000</v>
      </c>
      <c r="L196" s="190" t="s">
        <v>65</v>
      </c>
      <c r="M196" s="190" t="s">
        <v>66</v>
      </c>
      <c r="N196" s="193" t="s">
        <v>67</v>
      </c>
    </row>
    <row r="197" spans="2:14" s="196" customFormat="1" ht="62.25" customHeight="1" x14ac:dyDescent="0.25">
      <c r="B197" s="199"/>
      <c r="C197" s="189" t="s">
        <v>247</v>
      </c>
      <c r="D197" s="190" t="s">
        <v>207</v>
      </c>
      <c r="E197" s="187" t="s">
        <v>80</v>
      </c>
      <c r="F197" s="187" t="s">
        <v>178</v>
      </c>
      <c r="G197" s="191" t="s">
        <v>179</v>
      </c>
      <c r="H197" s="191" t="s">
        <v>187</v>
      </c>
      <c r="I197" s="188">
        <v>0</v>
      </c>
      <c r="J197" s="192">
        <v>6000000</v>
      </c>
      <c r="K197" s="192">
        <f t="shared" si="12"/>
        <v>6000000</v>
      </c>
      <c r="L197" s="190" t="s">
        <v>65</v>
      </c>
      <c r="M197" s="190" t="s">
        <v>66</v>
      </c>
      <c r="N197" s="193" t="s">
        <v>67</v>
      </c>
    </row>
    <row r="198" spans="2:14" s="196" customFormat="1" ht="35.25" customHeight="1" x14ac:dyDescent="0.25">
      <c r="B198" s="199"/>
      <c r="C198" s="189" t="s">
        <v>248</v>
      </c>
      <c r="D198" s="190" t="s">
        <v>233</v>
      </c>
      <c r="E198" s="187" t="s">
        <v>198</v>
      </c>
      <c r="F198" s="187" t="s">
        <v>249</v>
      </c>
      <c r="G198" s="191" t="s">
        <v>179</v>
      </c>
      <c r="H198" s="191" t="s">
        <v>12</v>
      </c>
      <c r="I198" s="188">
        <v>0</v>
      </c>
      <c r="J198" s="192">
        <v>17500000</v>
      </c>
      <c r="K198" s="192">
        <f t="shared" si="12"/>
        <v>17500000</v>
      </c>
      <c r="L198" s="190" t="s">
        <v>65</v>
      </c>
      <c r="M198" s="190" t="s">
        <v>66</v>
      </c>
      <c r="N198" s="193" t="s">
        <v>67</v>
      </c>
    </row>
    <row r="199" spans="2:14" s="196" customFormat="1" ht="93" customHeight="1" x14ac:dyDescent="0.25">
      <c r="B199" s="199"/>
      <c r="C199" s="189" t="s">
        <v>556</v>
      </c>
      <c r="D199" s="190" t="s">
        <v>69</v>
      </c>
      <c r="E199" s="187" t="s">
        <v>230</v>
      </c>
      <c r="F199" s="187" t="s">
        <v>251</v>
      </c>
      <c r="G199" s="191" t="s">
        <v>526</v>
      </c>
      <c r="H199" s="191" t="s">
        <v>252</v>
      </c>
      <c r="I199" s="188">
        <v>3000000</v>
      </c>
      <c r="J199" s="192">
        <v>0</v>
      </c>
      <c r="K199" s="192">
        <f>+I199+J199</f>
        <v>3000000</v>
      </c>
      <c r="L199" s="190" t="s">
        <v>65</v>
      </c>
      <c r="M199" s="190" t="s">
        <v>66</v>
      </c>
      <c r="N199" s="193" t="s">
        <v>67</v>
      </c>
    </row>
    <row r="200" spans="2:14" s="196" customFormat="1" ht="35.25" customHeight="1" x14ac:dyDescent="0.25">
      <c r="B200" s="199"/>
      <c r="C200" s="189" t="s">
        <v>250</v>
      </c>
      <c r="D200" s="190" t="s">
        <v>207</v>
      </c>
      <c r="E200" s="187" t="s">
        <v>204</v>
      </c>
      <c r="F200" s="187" t="s">
        <v>251</v>
      </c>
      <c r="G200" s="191" t="s">
        <v>179</v>
      </c>
      <c r="H200" s="191" t="s">
        <v>252</v>
      </c>
      <c r="I200" s="188">
        <v>9000000</v>
      </c>
      <c r="J200" s="192">
        <v>20000000</v>
      </c>
      <c r="K200" s="192">
        <f t="shared" ref="K200" si="14">+I200+J200</f>
        <v>29000000</v>
      </c>
      <c r="L200" s="190" t="s">
        <v>65</v>
      </c>
      <c r="M200" s="190" t="s">
        <v>66</v>
      </c>
      <c r="N200" s="193" t="s">
        <v>67</v>
      </c>
    </row>
    <row r="201" spans="2:14" s="196" customFormat="1" ht="35.25" customHeight="1" x14ac:dyDescent="0.25">
      <c r="B201" s="199"/>
      <c r="C201" s="189" t="s">
        <v>253</v>
      </c>
      <c r="D201" s="190" t="s">
        <v>109</v>
      </c>
      <c r="E201" s="187" t="s">
        <v>204</v>
      </c>
      <c r="F201" s="187" t="s">
        <v>254</v>
      </c>
      <c r="G201" s="191" t="s">
        <v>179</v>
      </c>
      <c r="H201" s="191" t="s">
        <v>12</v>
      </c>
      <c r="I201" s="188">
        <v>0</v>
      </c>
      <c r="J201" s="192">
        <v>20000000</v>
      </c>
      <c r="K201" s="192">
        <f>+I201+J201</f>
        <v>20000000</v>
      </c>
      <c r="L201" s="190" t="s">
        <v>65</v>
      </c>
      <c r="M201" s="190" t="s">
        <v>66</v>
      </c>
      <c r="N201" s="193" t="s">
        <v>67</v>
      </c>
    </row>
    <row r="202" spans="2:14" s="196" customFormat="1" ht="75.75" customHeight="1" x14ac:dyDescent="0.25">
      <c r="B202" s="199"/>
      <c r="C202" s="194" t="s">
        <v>527</v>
      </c>
      <c r="D202" s="195" t="s">
        <v>109</v>
      </c>
      <c r="E202" s="195" t="s">
        <v>74</v>
      </c>
      <c r="F202" s="187" t="s">
        <v>178</v>
      </c>
      <c r="G202" s="191"/>
      <c r="H202" s="191" t="s">
        <v>274</v>
      </c>
      <c r="I202" s="188">
        <v>300000000</v>
      </c>
      <c r="J202" s="192">
        <v>0</v>
      </c>
      <c r="K202" s="192">
        <f t="shared" ref="K202:K214" si="15">+I202+J202</f>
        <v>300000000</v>
      </c>
      <c r="L202" s="190" t="s">
        <v>65</v>
      </c>
      <c r="M202" s="190" t="s">
        <v>66</v>
      </c>
      <c r="N202" s="193" t="s">
        <v>67</v>
      </c>
    </row>
    <row r="203" spans="2:14" s="196" customFormat="1" ht="75.75" customHeight="1" x14ac:dyDescent="0.25">
      <c r="B203" s="199"/>
      <c r="C203" s="197" t="s">
        <v>3</v>
      </c>
      <c r="D203" s="195" t="s">
        <v>528</v>
      </c>
      <c r="E203" s="195" t="s">
        <v>528</v>
      </c>
      <c r="F203" s="187" t="s">
        <v>178</v>
      </c>
      <c r="G203" s="191"/>
      <c r="H203" s="191" t="s">
        <v>274</v>
      </c>
      <c r="I203" s="188">
        <v>100000000</v>
      </c>
      <c r="J203" s="192">
        <v>0</v>
      </c>
      <c r="K203" s="192">
        <f t="shared" si="15"/>
        <v>100000000</v>
      </c>
      <c r="L203" s="190" t="s">
        <v>65</v>
      </c>
      <c r="M203" s="190" t="s">
        <v>66</v>
      </c>
      <c r="N203" s="193" t="s">
        <v>67</v>
      </c>
    </row>
    <row r="204" spans="2:14" s="196" customFormat="1" ht="75.75" customHeight="1" x14ac:dyDescent="0.25">
      <c r="B204" s="199"/>
      <c r="C204" s="197" t="s">
        <v>4</v>
      </c>
      <c r="D204" s="195" t="s">
        <v>197</v>
      </c>
      <c r="E204" s="195" t="s">
        <v>135</v>
      </c>
      <c r="F204" s="187" t="s">
        <v>178</v>
      </c>
      <c r="G204" s="191"/>
      <c r="H204" s="191" t="s">
        <v>274</v>
      </c>
      <c r="I204" s="188">
        <v>300000000</v>
      </c>
      <c r="J204" s="192">
        <v>0</v>
      </c>
      <c r="K204" s="192">
        <f t="shared" si="15"/>
        <v>300000000</v>
      </c>
      <c r="L204" s="190" t="s">
        <v>65</v>
      </c>
      <c r="M204" s="190" t="s">
        <v>66</v>
      </c>
      <c r="N204" s="193" t="s">
        <v>67</v>
      </c>
    </row>
    <row r="205" spans="2:14" s="196" customFormat="1" ht="75.75" customHeight="1" x14ac:dyDescent="0.25">
      <c r="B205" s="199"/>
      <c r="C205" s="197" t="s">
        <v>2</v>
      </c>
      <c r="D205" s="195" t="s">
        <v>102</v>
      </c>
      <c r="E205" s="195" t="s">
        <v>522</v>
      </c>
      <c r="F205" s="187" t="s">
        <v>178</v>
      </c>
      <c r="G205" s="191"/>
      <c r="H205" s="191" t="s">
        <v>274</v>
      </c>
      <c r="I205" s="188">
        <v>50000000</v>
      </c>
      <c r="J205" s="192">
        <v>0</v>
      </c>
      <c r="K205" s="192">
        <f t="shared" si="15"/>
        <v>50000000</v>
      </c>
      <c r="L205" s="190" t="s">
        <v>65</v>
      </c>
      <c r="M205" s="190" t="s">
        <v>66</v>
      </c>
      <c r="N205" s="193" t="s">
        <v>67</v>
      </c>
    </row>
    <row r="206" spans="2:14" s="196" customFormat="1" ht="75.75" customHeight="1" x14ac:dyDescent="0.25">
      <c r="B206" s="199"/>
      <c r="C206" s="197" t="s">
        <v>1</v>
      </c>
      <c r="D206" s="195" t="s">
        <v>528</v>
      </c>
      <c r="E206" s="195" t="s">
        <v>528</v>
      </c>
      <c r="F206" s="187" t="s">
        <v>178</v>
      </c>
      <c r="G206" s="191"/>
      <c r="H206" s="191" t="s">
        <v>274</v>
      </c>
      <c r="I206" s="188">
        <v>50000000</v>
      </c>
      <c r="J206" s="192">
        <v>0</v>
      </c>
      <c r="K206" s="192">
        <f t="shared" si="15"/>
        <v>50000000</v>
      </c>
      <c r="L206" s="190" t="s">
        <v>65</v>
      </c>
      <c r="M206" s="190" t="s">
        <v>66</v>
      </c>
      <c r="N206" s="193" t="s">
        <v>67</v>
      </c>
    </row>
    <row r="207" spans="2:14" s="196" customFormat="1" ht="96" customHeight="1" x14ac:dyDescent="0.25">
      <c r="B207" s="199"/>
      <c r="C207" s="197" t="s">
        <v>576</v>
      </c>
      <c r="D207" s="195" t="s">
        <v>76</v>
      </c>
      <c r="E207" s="195" t="s">
        <v>202</v>
      </c>
      <c r="F207" s="187" t="s">
        <v>178</v>
      </c>
      <c r="G207" s="191" t="s">
        <v>526</v>
      </c>
      <c r="H207" s="191" t="s">
        <v>274</v>
      </c>
      <c r="I207" s="188">
        <v>3345000</v>
      </c>
      <c r="J207" s="192">
        <v>0</v>
      </c>
      <c r="K207" s="192">
        <f t="shared" si="15"/>
        <v>3345000</v>
      </c>
      <c r="L207" s="190"/>
      <c r="M207" s="190"/>
      <c r="N207" s="193"/>
    </row>
    <row r="208" spans="2:14" s="196" customFormat="1" ht="75.75" customHeight="1" x14ac:dyDescent="0.25">
      <c r="B208" s="199"/>
      <c r="C208" s="197" t="s">
        <v>0</v>
      </c>
      <c r="D208" s="195" t="s">
        <v>79</v>
      </c>
      <c r="E208" s="195" t="s">
        <v>505</v>
      </c>
      <c r="F208" s="187" t="s">
        <v>178</v>
      </c>
      <c r="G208" s="191"/>
      <c r="H208" s="191" t="s">
        <v>274</v>
      </c>
      <c r="I208" s="188">
        <f>500000000-I207</f>
        <v>496655000</v>
      </c>
      <c r="J208" s="192">
        <v>0</v>
      </c>
      <c r="K208" s="192">
        <f t="shared" si="15"/>
        <v>496655000</v>
      </c>
      <c r="L208" s="190" t="s">
        <v>65</v>
      </c>
      <c r="M208" s="190" t="s">
        <v>66</v>
      </c>
      <c r="N208" s="193" t="s">
        <v>67</v>
      </c>
    </row>
    <row r="209" spans="2:14" s="196" customFormat="1" ht="75.75" customHeight="1" x14ac:dyDescent="0.25">
      <c r="B209" s="199"/>
      <c r="C209" s="197" t="s">
        <v>6</v>
      </c>
      <c r="D209" s="195" t="s">
        <v>102</v>
      </c>
      <c r="E209" s="195" t="s">
        <v>522</v>
      </c>
      <c r="F209" s="187" t="s">
        <v>178</v>
      </c>
      <c r="G209" s="191"/>
      <c r="H209" s="191" t="s">
        <v>274</v>
      </c>
      <c r="I209" s="188">
        <v>300000000</v>
      </c>
      <c r="J209" s="192">
        <v>0</v>
      </c>
      <c r="K209" s="192">
        <f t="shared" si="15"/>
        <v>300000000</v>
      </c>
      <c r="L209" s="190" t="s">
        <v>65</v>
      </c>
      <c r="M209" s="190" t="s">
        <v>66</v>
      </c>
      <c r="N209" s="193" t="s">
        <v>67</v>
      </c>
    </row>
    <row r="210" spans="2:14" s="196" customFormat="1" ht="75.75" customHeight="1" x14ac:dyDescent="0.25">
      <c r="B210" s="199"/>
      <c r="C210" s="197" t="s">
        <v>7</v>
      </c>
      <c r="D210" s="195" t="s">
        <v>109</v>
      </c>
      <c r="E210" s="195" t="s">
        <v>135</v>
      </c>
      <c r="F210" s="187" t="s">
        <v>178</v>
      </c>
      <c r="G210" s="191"/>
      <c r="H210" s="191" t="s">
        <v>274</v>
      </c>
      <c r="I210" s="188">
        <v>99619167</v>
      </c>
      <c r="J210" s="192">
        <v>0</v>
      </c>
      <c r="K210" s="192">
        <f t="shared" si="15"/>
        <v>99619167</v>
      </c>
      <c r="L210" s="190" t="s">
        <v>65</v>
      </c>
      <c r="M210" s="190" t="s">
        <v>66</v>
      </c>
      <c r="N210" s="193" t="s">
        <v>67</v>
      </c>
    </row>
    <row r="211" spans="2:14" s="196" customFormat="1" ht="75.75" customHeight="1" x14ac:dyDescent="0.25">
      <c r="B211" s="199"/>
      <c r="C211" s="197" t="s">
        <v>8</v>
      </c>
      <c r="D211" s="195" t="s">
        <v>102</v>
      </c>
      <c r="E211" s="195" t="s">
        <v>522</v>
      </c>
      <c r="F211" s="187" t="s">
        <v>178</v>
      </c>
      <c r="G211" s="191"/>
      <c r="H211" s="191" t="s">
        <v>274</v>
      </c>
      <c r="I211" s="188">
        <v>400000000</v>
      </c>
      <c r="J211" s="192">
        <v>0</v>
      </c>
      <c r="K211" s="192">
        <f t="shared" si="15"/>
        <v>400000000</v>
      </c>
      <c r="L211" s="190" t="s">
        <v>65</v>
      </c>
      <c r="M211" s="190" t="s">
        <v>66</v>
      </c>
      <c r="N211" s="193" t="s">
        <v>67</v>
      </c>
    </row>
    <row r="212" spans="2:14" s="196" customFormat="1" ht="75.75" customHeight="1" x14ac:dyDescent="0.25">
      <c r="B212" s="199"/>
      <c r="C212" s="197" t="s">
        <v>9</v>
      </c>
      <c r="D212" s="195" t="s">
        <v>102</v>
      </c>
      <c r="E212" s="195" t="s">
        <v>522</v>
      </c>
      <c r="F212" s="187" t="s">
        <v>178</v>
      </c>
      <c r="G212" s="191"/>
      <c r="H212" s="191" t="s">
        <v>274</v>
      </c>
      <c r="I212" s="188">
        <v>300000000</v>
      </c>
      <c r="J212" s="192">
        <v>0</v>
      </c>
      <c r="K212" s="192">
        <f t="shared" si="15"/>
        <v>300000000</v>
      </c>
      <c r="L212" s="190" t="s">
        <v>65</v>
      </c>
      <c r="M212" s="190" t="s">
        <v>66</v>
      </c>
      <c r="N212" s="193" t="s">
        <v>67</v>
      </c>
    </row>
    <row r="213" spans="2:14" s="196" customFormat="1" ht="75.75" customHeight="1" x14ac:dyDescent="0.25">
      <c r="B213" s="199"/>
      <c r="C213" s="197" t="s">
        <v>10</v>
      </c>
      <c r="D213" s="195" t="s">
        <v>109</v>
      </c>
      <c r="E213" s="195" t="s">
        <v>74</v>
      </c>
      <c r="F213" s="187" t="s">
        <v>178</v>
      </c>
      <c r="G213" s="191"/>
      <c r="H213" s="191" t="s">
        <v>274</v>
      </c>
      <c r="I213" s="188">
        <v>200000000</v>
      </c>
      <c r="J213" s="192">
        <v>0</v>
      </c>
      <c r="K213" s="192">
        <f t="shared" si="15"/>
        <v>200000000</v>
      </c>
      <c r="L213" s="190" t="s">
        <v>65</v>
      </c>
      <c r="M213" s="190" t="s">
        <v>66</v>
      </c>
      <c r="N213" s="193" t="s">
        <v>67</v>
      </c>
    </row>
    <row r="214" spans="2:14" s="196" customFormat="1" ht="75.75" customHeight="1" x14ac:dyDescent="0.25">
      <c r="B214" s="199"/>
      <c r="C214" s="197" t="s">
        <v>5</v>
      </c>
      <c r="D214" s="195" t="s">
        <v>79</v>
      </c>
      <c r="E214" s="195" t="s">
        <v>135</v>
      </c>
      <c r="F214" s="187" t="s">
        <v>178</v>
      </c>
      <c r="G214" s="191"/>
      <c r="H214" s="191" t="s">
        <v>274</v>
      </c>
      <c r="I214" s="188">
        <v>500000000</v>
      </c>
      <c r="J214" s="192">
        <v>0</v>
      </c>
      <c r="K214" s="192">
        <f t="shared" si="15"/>
        <v>500000000</v>
      </c>
      <c r="L214" s="190" t="s">
        <v>65</v>
      </c>
      <c r="M214" s="190" t="s">
        <v>66</v>
      </c>
      <c r="N214" s="193" t="s">
        <v>67</v>
      </c>
    </row>
    <row r="215" spans="2:14" s="196" customFormat="1" ht="50.25" hidden="1" customHeight="1" x14ac:dyDescent="0.25">
      <c r="B215" s="199"/>
      <c r="C215" s="276"/>
      <c r="D215" s="190"/>
      <c r="E215" s="187"/>
      <c r="F215" s="187"/>
      <c r="G215" s="191" t="s">
        <v>77</v>
      </c>
      <c r="H215" s="191"/>
      <c r="I215" s="188">
        <f>-14000000-3000000</f>
        <v>-17000000</v>
      </c>
      <c r="J215" s="192">
        <v>13601100</v>
      </c>
      <c r="K215" s="192">
        <v>-398900</v>
      </c>
      <c r="L215" s="190"/>
      <c r="M215" s="190"/>
      <c r="N215" s="193"/>
    </row>
    <row r="216" spans="2:14" s="213" customFormat="1" ht="37.5" hidden="1" customHeight="1" x14ac:dyDescent="0.25">
      <c r="B216" s="214"/>
      <c r="C216" s="277"/>
      <c r="D216" s="190"/>
      <c r="E216" s="187"/>
      <c r="F216" s="187"/>
      <c r="G216" s="187"/>
      <c r="H216" s="191"/>
      <c r="I216" s="192">
        <f>SUM(I20:I215)</f>
        <v>4358189376</v>
      </c>
      <c r="J216" s="192">
        <f>SUM(J20:J215)</f>
        <v>858009017</v>
      </c>
      <c r="K216" s="192">
        <f>+I216+J216</f>
        <v>5216198393</v>
      </c>
      <c r="L216" s="187"/>
      <c r="M216" s="187"/>
      <c r="N216" s="193"/>
    </row>
    <row r="217" spans="2:14" s="213" customFormat="1" ht="29.25" hidden="1" customHeight="1" thickBot="1" x14ac:dyDescent="0.3">
      <c r="B217" s="256"/>
      <c r="C217" s="278"/>
      <c r="D217" s="279"/>
      <c r="E217" s="280"/>
      <c r="F217" s="280"/>
      <c r="G217" s="280"/>
      <c r="H217" s="281"/>
      <c r="I217" s="282" t="s">
        <v>255</v>
      </c>
      <c r="J217" s="282"/>
      <c r="K217" s="283">
        <f>+K216-I222</f>
        <v>4939800</v>
      </c>
      <c r="L217" s="280" t="s">
        <v>66</v>
      </c>
      <c r="M217" s="278"/>
      <c r="N217" s="284"/>
    </row>
    <row r="218" spans="2:14" s="213" customFormat="1" ht="60" hidden="1" customHeight="1" thickBot="1" x14ac:dyDescent="0.3">
      <c r="B218" s="285"/>
      <c r="D218" s="186"/>
      <c r="E218" s="285"/>
      <c r="F218" s="285"/>
      <c r="G218" s="285"/>
      <c r="H218" s="286"/>
      <c r="I218" s="201"/>
      <c r="J218" s="201"/>
      <c r="K218" s="287"/>
      <c r="L218" s="285"/>
      <c r="M218" s="288">
        <f>+L218-K218</f>
        <v>0</v>
      </c>
    </row>
    <row r="219" spans="2:14" s="213" customFormat="1" ht="60" hidden="1" customHeight="1" thickBot="1" x14ac:dyDescent="0.3">
      <c r="B219" s="285"/>
      <c r="C219" s="289" t="s">
        <v>256</v>
      </c>
      <c r="D219" s="290"/>
      <c r="E219" s="291" t="s">
        <v>11</v>
      </c>
      <c r="F219" s="291" t="s">
        <v>257</v>
      </c>
      <c r="G219" s="291" t="s">
        <v>12</v>
      </c>
      <c r="H219" s="291" t="s">
        <v>257</v>
      </c>
      <c r="I219" s="291" t="s">
        <v>258</v>
      </c>
      <c r="J219" s="292" t="s">
        <v>259</v>
      </c>
      <c r="K219" s="293"/>
      <c r="L219" s="293"/>
      <c r="M219" s="294"/>
    </row>
    <row r="220" spans="2:14" s="213" customFormat="1" ht="38.25" hidden="1" customHeight="1" thickBot="1" x14ac:dyDescent="0.3">
      <c r="B220" s="285"/>
      <c r="C220" s="289" t="s">
        <v>260</v>
      </c>
      <c r="D220" s="290"/>
      <c r="E220" s="295">
        <v>629730209</v>
      </c>
      <c r="F220" s="295">
        <v>52.863494672349887</v>
      </c>
      <c r="G220" s="295">
        <v>561508117</v>
      </c>
      <c r="H220" s="295">
        <v>47.136505327650113</v>
      </c>
      <c r="I220" s="296">
        <v>1191238326</v>
      </c>
      <c r="J220" s="297" t="e">
        <f>+I20+I21+I22+I23+I24+I25+I27+I29+I31+I33+I34+I35+I37+I39+I40+I41+I43+I44+I45+I46+I47+I48+I49+I50+I51+I52+I53+I54+I55+I56+I57+I58+I59+I60+I61+I62+I63+I64+I65+I66+I67+I68+I69+I70+I71+I72+I73+I74+I75+I76+I77+I78+I79+I80+I81+I82+I83+I84+I85+I86+I87+I88+I89+I90+I91+I92+I93+I97+I99+I101+I103+I104+I105+I106+I107+I109+I111+I113+I115+I120+I121+I122+#REF!+I125+I126+I127+I128+I129+I141+I142+I198+I199+I201</f>
        <v>#REF!</v>
      </c>
      <c r="K220" s="297" t="e">
        <f>+J20+J21+J22+J23+J24+J25+J27+J29+J31+J33+J34+J35+J37+J39+J40+J41+J43+J44+J45+J46+J47+J48+J49+J50+J51+J52+J53+J54+J55+J56+J57+J58+J59+J60+J61+J62+J63+J64+J65+J66+J67+J68+J69+J70+J71+J72+J73+J74+J75+J76+J77+J78+J79+J80+J81+J82+J83+J84+J85+J86+J87+J88+J89+J90+J91+J92+J93+J97+J99+J101+J103+J104+J105+J106+J107+J109+J111+J113+J115+J120+J121+J122+#REF!+J125+J126+J127+J128+J129+J141+J142+J198+J199+J201</f>
        <v>#REF!</v>
      </c>
      <c r="L220" s="297" t="e">
        <f>+K20+K21+K22+K23+K24+K25+K27+K29+K31+K33+K34+K35+K37+K39+K40+K41+K43+K44+K45+K46+K47+K48+K49+K50+K51+K52+K53+K54+K55+K56+K57+K58+K59+K60+K61+K62+K63+K64+K65+K66+K67+K68+K69+K70+K71+K72+K73+K74+K75+K76+K77+K78+K79+K80+K81+K82+K83+K84+K85+K86+K87+K88+K89+K90+K91+K92+K93+K97+K99+K101+K103+K104+K105+K106+K107+K109+K111+K113+K115+K120+K121+K122+#REF!+K125+K126+K127+K128+K129+K141+K142+K198+K199+K201</f>
        <v>#REF!</v>
      </c>
      <c r="M220" s="298"/>
      <c r="N220" s="299"/>
    </row>
    <row r="221" spans="2:14" s="213" customFormat="1" ht="38.25" hidden="1" customHeight="1" thickBot="1" x14ac:dyDescent="0.3">
      <c r="B221" s="285"/>
      <c r="C221" s="289" t="s">
        <v>261</v>
      </c>
      <c r="D221" s="290"/>
      <c r="E221" s="300">
        <v>3726419167</v>
      </c>
      <c r="F221" s="300">
        <v>92.696526870519875</v>
      </c>
      <c r="G221" s="300">
        <v>293601100</v>
      </c>
      <c r="H221" s="300">
        <v>7.3034731294801203</v>
      </c>
      <c r="I221" s="301">
        <v>4020020267</v>
      </c>
      <c r="J221" s="302" t="e">
        <f>+I112+#REF!+I114+#REF!+I117+I132+I134+I135+I137+I138+I139+I143+I144+I145+I147+I148+I152+I153+I155+I158+I159+I161+I162++I163+I164+I165+I166+I167+I168+I169+I171+I173+I174+I175+I176+I179+I180+I181+I183+I184+I186+I187+I190+I191+I192+I193+I194+I196+I197+#REF!+I215</f>
        <v>#REF!</v>
      </c>
      <c r="K221" s="302" t="e">
        <f>+J112+#REF!+J114+#REF!+J117+J132+J134+J135+J137+J138+J139+J143+J144+J145+J147+J148+J152+J153+J155+J158+J159+J161+J162++J163+J164+J165+J166+J167+J168+J169+J171+J173+J174+J175+J176+J179+J180+J181+J183+J184+J186+J187+J190+J191+J192+J193+J194+J196+J197+#REF!</f>
        <v>#REF!</v>
      </c>
      <c r="L221" s="302" t="e">
        <f>+K112+#REF!+K114+#REF!+K117+K132+K134+K135+K137+K138+K139+K143+K144+K145+K147+K148+K152+K153+K155+K158+K159+K161+K162++K163+K164+K165+K166+K167+K168+K169+K171+K173+K174+K175+K176+K179+K180+K181+K183+K184+K186+K187+K190+K191+K192+K193+K194+K196+K197+#REF!</f>
        <v>#REF!</v>
      </c>
      <c r="M221" s="303" t="e">
        <f>+G221-K221</f>
        <v>#REF!</v>
      </c>
      <c r="N221" s="304" t="e">
        <f>+J221-E221</f>
        <v>#REF!</v>
      </c>
    </row>
    <row r="222" spans="2:14" s="213" customFormat="1" ht="38.25" hidden="1" customHeight="1" thickBot="1" x14ac:dyDescent="0.3">
      <c r="B222" s="285"/>
      <c r="C222" s="289" t="s">
        <v>262</v>
      </c>
      <c r="D222" s="290"/>
      <c r="E222" s="305">
        <v>4356149376</v>
      </c>
      <c r="F222" s="305"/>
      <c r="G222" s="305">
        <v>855109217</v>
      </c>
      <c r="H222" s="305"/>
      <c r="I222" s="306">
        <v>5211258593</v>
      </c>
      <c r="J222" s="307" t="e">
        <f>SUBTOTAL(9,J220:J221)</f>
        <v>#REF!</v>
      </c>
      <c r="K222" s="308" t="e">
        <f>SUBTOTAL(9,K220:K221)</f>
        <v>#REF!</v>
      </c>
      <c r="L222" s="309" t="e">
        <f>SUBTOTAL(9,L220:L221)</f>
        <v>#REF!</v>
      </c>
      <c r="M222" s="310">
        <f>+C13</f>
        <v>5211258593</v>
      </c>
      <c r="N222" s="310" t="e">
        <f>+L222-M222</f>
        <v>#REF!</v>
      </c>
    </row>
    <row r="223" spans="2:14" s="213" customFormat="1" ht="16.5" hidden="1" customHeight="1" x14ac:dyDescent="0.25">
      <c r="B223" s="285"/>
      <c r="D223" s="186"/>
      <c r="E223" s="285"/>
      <c r="F223" s="285"/>
      <c r="G223" s="285"/>
      <c r="H223" s="286"/>
      <c r="I223" s="201"/>
      <c r="J223" s="201"/>
      <c r="K223" s="186"/>
      <c r="L223" s="285"/>
    </row>
    <row r="224" spans="2:14" s="213" customFormat="1" ht="9.75" hidden="1" customHeight="1" x14ac:dyDescent="0.25">
      <c r="B224" s="285"/>
      <c r="D224" s="186"/>
      <c r="E224" s="285"/>
      <c r="F224" s="285"/>
      <c r="G224" s="285"/>
      <c r="H224" s="286"/>
      <c r="I224" s="201"/>
      <c r="J224" s="201"/>
      <c r="K224" s="186"/>
      <c r="L224" s="285"/>
    </row>
    <row r="225" spans="2:12" s="213" customFormat="1" ht="6.75" hidden="1" customHeight="1" x14ac:dyDescent="0.25">
      <c r="B225" s="285"/>
      <c r="D225" s="186"/>
      <c r="E225" s="285"/>
      <c r="F225" s="285"/>
      <c r="G225" s="285"/>
      <c r="H225" s="286"/>
      <c r="I225" s="311"/>
      <c r="J225" s="201"/>
      <c r="K225" s="186"/>
      <c r="L225" s="285"/>
    </row>
    <row r="226" spans="2:12" s="213" customFormat="1" ht="14.25" hidden="1" customHeight="1" x14ac:dyDescent="0.25">
      <c r="D226" s="186"/>
      <c r="E226" s="285"/>
      <c r="F226" s="285"/>
      <c r="G226" s="285"/>
      <c r="H226" s="286"/>
      <c r="I226" s="201"/>
      <c r="J226" s="201"/>
      <c r="K226" s="186"/>
      <c r="L226" s="285"/>
    </row>
    <row r="227" spans="2:12" s="213" customFormat="1" ht="14.25" hidden="1" customHeight="1" x14ac:dyDescent="0.25">
      <c r="D227" s="186"/>
      <c r="E227" s="285"/>
      <c r="F227" s="285"/>
      <c r="G227" s="285"/>
      <c r="H227" s="286"/>
      <c r="I227" s="201"/>
      <c r="J227" s="201"/>
      <c r="K227" s="186"/>
      <c r="L227" s="285"/>
    </row>
    <row r="228" spans="2:12" s="213" customFormat="1" ht="12" hidden="1" customHeight="1" thickBot="1" x14ac:dyDescent="0.3">
      <c r="D228" s="186"/>
      <c r="E228" s="285"/>
      <c r="F228" s="285"/>
      <c r="G228" s="285"/>
      <c r="H228" s="286"/>
      <c r="I228" s="201"/>
      <c r="J228" s="201"/>
      <c r="K228" s="186"/>
      <c r="L228" s="285"/>
    </row>
    <row r="229" spans="2:12" s="213" customFormat="1" ht="33" hidden="1" customHeight="1" thickBot="1" x14ac:dyDescent="0.3">
      <c r="D229" s="186"/>
      <c r="E229" s="312"/>
      <c r="F229" s="312"/>
      <c r="G229" s="312"/>
      <c r="H229" s="286"/>
      <c r="I229" s="313">
        <v>3250000</v>
      </c>
      <c r="J229" s="313">
        <f>+I229*4</f>
        <v>13000000</v>
      </c>
      <c r="K229" s="186"/>
      <c r="L229" s="314">
        <f>15000000-6600000</f>
        <v>8400000</v>
      </c>
    </row>
    <row r="230" spans="2:12" s="213" customFormat="1" ht="33" hidden="1" customHeight="1" thickBot="1" x14ac:dyDescent="0.3">
      <c r="C230" s="192"/>
      <c r="D230" s="315"/>
      <c r="E230" s="312"/>
      <c r="F230" s="316"/>
      <c r="G230" s="285"/>
      <c r="H230" s="286"/>
      <c r="I230" s="313">
        <v>3000000</v>
      </c>
      <c r="J230" s="313">
        <f>+I230*4</f>
        <v>12000000</v>
      </c>
      <c r="K230" s="186"/>
      <c r="L230" s="314"/>
    </row>
    <row r="231" spans="2:12" s="213" customFormat="1" ht="33" hidden="1" customHeight="1" thickBot="1" x14ac:dyDescent="0.3">
      <c r="C231" s="317">
        <f>1800000*9</f>
        <v>16200000</v>
      </c>
      <c r="D231" s="186"/>
      <c r="E231" s="312"/>
      <c r="F231" s="312"/>
      <c r="G231" s="285"/>
      <c r="H231" s="286"/>
      <c r="I231" s="313"/>
      <c r="J231" s="313">
        <f>+J229+J230</f>
        <v>25000000</v>
      </c>
      <c r="K231" s="186"/>
      <c r="L231" s="285"/>
    </row>
    <row r="232" spans="2:12" s="213" customFormat="1" ht="33" hidden="1" customHeight="1" thickBot="1" x14ac:dyDescent="0.3">
      <c r="D232" s="186"/>
      <c r="E232" s="285"/>
      <c r="F232" s="285"/>
      <c r="G232" s="285"/>
      <c r="H232" s="286"/>
      <c r="I232" s="313"/>
      <c r="J232" s="313">
        <f>+I187-J231</f>
        <v>-11800000</v>
      </c>
      <c r="K232" s="186"/>
      <c r="L232" s="285"/>
    </row>
    <row r="233" spans="2:12" s="213" customFormat="1" ht="60" customHeight="1" x14ac:dyDescent="0.25">
      <c r="D233" s="186"/>
      <c r="E233" s="285"/>
      <c r="F233" s="285"/>
      <c r="G233" s="285"/>
      <c r="H233" s="286"/>
      <c r="I233" s="201"/>
      <c r="J233" s="201"/>
      <c r="K233" s="186"/>
      <c r="L233" s="285"/>
    </row>
    <row r="234" spans="2:12" s="213" customFormat="1" ht="60" customHeight="1" x14ac:dyDescent="0.25">
      <c r="D234" s="186"/>
      <c r="E234" s="285"/>
      <c r="F234" s="285"/>
      <c r="G234" s="285"/>
      <c r="H234" s="286"/>
      <c r="I234" s="201"/>
      <c r="J234" s="201"/>
      <c r="K234" s="186"/>
      <c r="L234" s="285"/>
    </row>
    <row r="235" spans="2:12" s="213" customFormat="1" ht="60" customHeight="1" x14ac:dyDescent="0.25">
      <c r="D235" s="186"/>
      <c r="E235" s="285"/>
      <c r="F235" s="285"/>
      <c r="G235" s="285"/>
      <c r="H235" s="286"/>
      <c r="I235" s="201"/>
      <c r="J235" s="201"/>
      <c r="K235" s="186"/>
      <c r="L235" s="285"/>
    </row>
    <row r="236" spans="2:12" s="213" customFormat="1" ht="60" customHeight="1" x14ac:dyDescent="0.25">
      <c r="D236" s="186"/>
      <c r="E236" s="285"/>
      <c r="F236" s="285"/>
      <c r="G236" s="285"/>
      <c r="H236" s="286"/>
      <c r="I236" s="201"/>
      <c r="J236" s="201"/>
      <c r="K236" s="186"/>
      <c r="L236" s="285"/>
    </row>
    <row r="237" spans="2:12" s="213" customFormat="1" ht="60" customHeight="1" x14ac:dyDescent="0.25">
      <c r="D237" s="186"/>
      <c r="E237" s="285"/>
      <c r="F237" s="285"/>
      <c r="G237" s="285"/>
      <c r="H237" s="286"/>
      <c r="I237" s="201"/>
      <c r="J237" s="201"/>
      <c r="K237" s="186"/>
      <c r="L237" s="285"/>
    </row>
    <row r="238" spans="2:12" s="213" customFormat="1" ht="60" customHeight="1" x14ac:dyDescent="0.25">
      <c r="D238" s="186"/>
      <c r="E238" s="285"/>
      <c r="F238" s="285"/>
      <c r="G238" s="285"/>
      <c r="H238" s="286"/>
      <c r="I238" s="201"/>
      <c r="J238" s="201"/>
      <c r="K238" s="186"/>
      <c r="L238" s="285"/>
    </row>
    <row r="239" spans="2:12" s="213" customFormat="1" ht="60" customHeight="1" x14ac:dyDescent="0.25">
      <c r="D239" s="186"/>
      <c r="E239" s="285"/>
      <c r="F239" s="285"/>
      <c r="G239" s="285"/>
      <c r="H239" s="286"/>
      <c r="I239" s="201"/>
      <c r="J239" s="201"/>
      <c r="K239" s="186"/>
      <c r="L239" s="285"/>
    </row>
    <row r="240" spans="2:12" s="213" customFormat="1" ht="60" customHeight="1" x14ac:dyDescent="0.25">
      <c r="D240" s="186"/>
      <c r="E240" s="285"/>
      <c r="F240" s="285"/>
      <c r="G240" s="285"/>
      <c r="H240" s="286"/>
      <c r="I240" s="201"/>
      <c r="J240" s="201"/>
      <c r="K240" s="186"/>
      <c r="L240" s="285"/>
    </row>
    <row r="241" spans="4:12" s="213" customFormat="1" ht="60" customHeight="1" x14ac:dyDescent="0.25">
      <c r="D241" s="186"/>
      <c r="E241" s="285"/>
      <c r="F241" s="285"/>
      <c r="G241" s="285"/>
      <c r="H241" s="286"/>
      <c r="I241" s="201"/>
      <c r="J241" s="201"/>
      <c r="K241" s="186"/>
      <c r="L241" s="285"/>
    </row>
    <row r="242" spans="4:12" s="213" customFormat="1" ht="60" customHeight="1" x14ac:dyDescent="0.25">
      <c r="F242" s="285"/>
      <c r="H242" s="285"/>
      <c r="I242" s="201"/>
      <c r="J242" s="201"/>
      <c r="K242" s="186"/>
    </row>
    <row r="243" spans="4:12" s="213" customFormat="1" ht="60" customHeight="1" x14ac:dyDescent="0.25">
      <c r="F243" s="285"/>
      <c r="H243" s="285"/>
      <c r="I243" s="201"/>
      <c r="J243" s="201"/>
      <c r="K243" s="186"/>
    </row>
    <row r="244" spans="4:12" s="213" customFormat="1" ht="60" customHeight="1" x14ac:dyDescent="0.25">
      <c r="F244" s="285"/>
      <c r="H244" s="285"/>
      <c r="I244" s="201"/>
      <c r="J244" s="201"/>
      <c r="K244" s="186"/>
    </row>
    <row r="245" spans="4:12" s="213" customFormat="1" ht="60" customHeight="1" x14ac:dyDescent="0.25">
      <c r="F245" s="285"/>
      <c r="H245" s="285"/>
      <c r="I245" s="201"/>
      <c r="J245" s="201"/>
      <c r="K245" s="186"/>
    </row>
    <row r="246" spans="4:12" s="213" customFormat="1" ht="60" customHeight="1" x14ac:dyDescent="0.25">
      <c r="F246" s="285"/>
      <c r="H246" s="285"/>
      <c r="I246" s="201"/>
      <c r="J246" s="201"/>
      <c r="K246" s="186"/>
    </row>
    <row r="247" spans="4:12" s="213" customFormat="1" ht="60" customHeight="1" x14ac:dyDescent="0.25">
      <c r="F247" s="285"/>
      <c r="H247" s="285"/>
      <c r="I247" s="201"/>
      <c r="J247" s="201"/>
      <c r="K247" s="186"/>
    </row>
    <row r="248" spans="4:12" s="213" customFormat="1" ht="39.75" customHeight="1" x14ac:dyDescent="0.25">
      <c r="F248" s="285"/>
      <c r="H248" s="285"/>
      <c r="I248" s="201"/>
      <c r="J248" s="201"/>
      <c r="K248" s="186"/>
    </row>
    <row r="249" spans="4:12" s="213" customFormat="1" ht="50.1" customHeight="1" x14ac:dyDescent="0.25">
      <c r="F249" s="285"/>
      <c r="H249" s="285"/>
      <c r="I249" s="201"/>
      <c r="J249" s="201"/>
      <c r="K249" s="186"/>
    </row>
    <row r="250" spans="4:12" s="213" customFormat="1" ht="50.1" customHeight="1" x14ac:dyDescent="0.25">
      <c r="F250" s="285"/>
      <c r="H250" s="285"/>
      <c r="I250" s="201"/>
      <c r="J250" s="201"/>
      <c r="K250" s="186"/>
    </row>
    <row r="251" spans="4:12" s="213" customFormat="1" ht="96.75" customHeight="1" x14ac:dyDescent="0.25">
      <c r="F251" s="285"/>
      <c r="H251" s="285"/>
      <c r="I251" s="201"/>
      <c r="J251" s="201"/>
      <c r="K251" s="186"/>
    </row>
    <row r="252" spans="4:12" s="213" customFormat="1" ht="99" customHeight="1" x14ac:dyDescent="0.25">
      <c r="F252" s="285"/>
      <c r="H252" s="285"/>
      <c r="I252" s="201"/>
      <c r="J252" s="201"/>
      <c r="K252" s="186"/>
    </row>
    <row r="253" spans="4:12" s="213" customFormat="1" ht="104.25" customHeight="1" x14ac:dyDescent="0.25">
      <c r="F253" s="285"/>
      <c r="H253" s="285"/>
      <c r="I253" s="201"/>
      <c r="J253" s="201"/>
      <c r="K253" s="186"/>
    </row>
    <row r="254" spans="4:12" s="213" customFormat="1" ht="62.25" customHeight="1" x14ac:dyDescent="0.25">
      <c r="F254" s="285"/>
      <c r="H254" s="285"/>
      <c r="I254" s="201"/>
      <c r="J254" s="201"/>
      <c r="K254" s="186"/>
    </row>
    <row r="255" spans="4:12" s="213" customFormat="1" ht="50.1" customHeight="1" x14ac:dyDescent="0.25">
      <c r="F255" s="285"/>
      <c r="H255" s="285"/>
      <c r="I255" s="201"/>
      <c r="J255" s="201"/>
      <c r="K255" s="186"/>
    </row>
    <row r="256" spans="4:12" s="213" customFormat="1" ht="50.1" customHeight="1" x14ac:dyDescent="0.25">
      <c r="F256" s="285"/>
      <c r="H256" s="285"/>
      <c r="I256" s="201"/>
      <c r="J256" s="201"/>
      <c r="K256" s="186"/>
    </row>
    <row r="257" spans="6:11" s="213" customFormat="1" ht="50.1" customHeight="1" x14ac:dyDescent="0.25">
      <c r="F257" s="285"/>
      <c r="H257" s="285"/>
      <c r="I257" s="201"/>
      <c r="J257" s="201"/>
      <c r="K257" s="186"/>
    </row>
    <row r="258" spans="6:11" s="213" customFormat="1" ht="50.1" customHeight="1" x14ac:dyDescent="0.25">
      <c r="F258" s="285"/>
      <c r="H258" s="285"/>
      <c r="I258" s="201"/>
      <c r="J258" s="201"/>
      <c r="K258" s="186"/>
    </row>
    <row r="259" spans="6:11" s="213" customFormat="1" ht="50.1" customHeight="1" x14ac:dyDescent="0.25">
      <c r="F259" s="285"/>
      <c r="H259" s="285"/>
      <c r="I259" s="201"/>
      <c r="J259" s="201"/>
      <c r="K259" s="186"/>
    </row>
    <row r="260" spans="6:11" s="213" customFormat="1" ht="50.1" customHeight="1" x14ac:dyDescent="0.25">
      <c r="F260" s="285"/>
      <c r="H260" s="285"/>
      <c r="I260" s="201"/>
      <c r="J260" s="201"/>
      <c r="K260" s="186"/>
    </row>
    <row r="261" spans="6:11" s="213" customFormat="1" ht="50.1" customHeight="1" x14ac:dyDescent="0.25">
      <c r="F261" s="285"/>
      <c r="H261" s="285"/>
      <c r="I261" s="201"/>
      <c r="J261" s="201"/>
      <c r="K261" s="186"/>
    </row>
    <row r="262" spans="6:11" s="213" customFormat="1" ht="50.1" customHeight="1" x14ac:dyDescent="0.25">
      <c r="F262" s="285"/>
      <c r="H262" s="285"/>
      <c r="I262" s="201"/>
      <c r="J262" s="201"/>
      <c r="K262" s="186"/>
    </row>
    <row r="263" spans="6:11" s="213" customFormat="1" ht="50.1" customHeight="1" x14ac:dyDescent="0.25">
      <c r="F263" s="285"/>
      <c r="H263" s="285"/>
      <c r="I263" s="201"/>
      <c r="J263" s="201"/>
      <c r="K263" s="186"/>
    </row>
    <row r="264" spans="6:11" s="213" customFormat="1" ht="50.1" customHeight="1" x14ac:dyDescent="0.25">
      <c r="F264" s="285"/>
      <c r="H264" s="285"/>
      <c r="I264" s="201"/>
      <c r="J264" s="201"/>
      <c r="K264" s="186"/>
    </row>
    <row r="265" spans="6:11" s="213" customFormat="1" ht="50.1" customHeight="1" x14ac:dyDescent="0.25">
      <c r="F265" s="285"/>
      <c r="H265" s="285"/>
      <c r="I265" s="201"/>
      <c r="J265" s="201"/>
      <c r="K265" s="186"/>
    </row>
    <row r="266" spans="6:11" s="213" customFormat="1" ht="50.1" customHeight="1" x14ac:dyDescent="0.25">
      <c r="F266" s="285"/>
      <c r="H266" s="285"/>
      <c r="I266" s="201"/>
      <c r="J266" s="201"/>
      <c r="K266" s="186"/>
    </row>
    <row r="267" spans="6:11" s="213" customFormat="1" ht="50.1" customHeight="1" x14ac:dyDescent="0.25">
      <c r="F267" s="285"/>
      <c r="H267" s="285"/>
      <c r="I267" s="201"/>
      <c r="J267" s="201"/>
      <c r="K267" s="186"/>
    </row>
    <row r="268" spans="6:11" s="213" customFormat="1" ht="50.1" customHeight="1" x14ac:dyDescent="0.25">
      <c r="F268" s="285"/>
      <c r="H268" s="285"/>
      <c r="I268" s="201"/>
      <c r="J268" s="201"/>
      <c r="K268" s="186"/>
    </row>
    <row r="269" spans="6:11" s="213" customFormat="1" ht="50.1" customHeight="1" x14ac:dyDescent="0.25">
      <c r="F269" s="285"/>
      <c r="H269" s="285"/>
      <c r="I269" s="201"/>
      <c r="J269" s="201"/>
      <c r="K269" s="186"/>
    </row>
    <row r="270" spans="6:11" s="213" customFormat="1" ht="50.1" customHeight="1" x14ac:dyDescent="0.25">
      <c r="F270" s="285"/>
      <c r="H270" s="285"/>
      <c r="I270" s="201"/>
      <c r="J270" s="201"/>
      <c r="K270" s="186"/>
    </row>
    <row r="271" spans="6:11" s="213" customFormat="1" ht="50.1" customHeight="1" x14ac:dyDescent="0.25">
      <c r="F271" s="285"/>
      <c r="H271" s="285"/>
      <c r="I271" s="201"/>
      <c r="J271" s="201"/>
      <c r="K271" s="186"/>
    </row>
    <row r="272" spans="6:11" s="213" customFormat="1" ht="50.1" customHeight="1" x14ac:dyDescent="0.25">
      <c r="F272" s="285"/>
      <c r="H272" s="285"/>
      <c r="I272" s="201"/>
      <c r="J272" s="201"/>
      <c r="K272" s="186"/>
    </row>
    <row r="273" spans="6:11" s="213" customFormat="1" ht="50.1" customHeight="1" x14ac:dyDescent="0.25">
      <c r="F273" s="285"/>
      <c r="H273" s="285"/>
      <c r="I273" s="201"/>
      <c r="J273" s="201"/>
      <c r="K273" s="186"/>
    </row>
    <row r="274" spans="6:11" s="213" customFormat="1" ht="50.1" customHeight="1" x14ac:dyDescent="0.25">
      <c r="F274" s="285"/>
      <c r="H274" s="285"/>
      <c r="I274" s="201"/>
      <c r="J274" s="201"/>
      <c r="K274" s="186"/>
    </row>
    <row r="275" spans="6:11" s="213" customFormat="1" ht="50.1" customHeight="1" x14ac:dyDescent="0.25">
      <c r="F275" s="285"/>
      <c r="H275" s="285"/>
      <c r="I275" s="201"/>
      <c r="J275" s="201"/>
      <c r="K275" s="186"/>
    </row>
    <row r="276" spans="6:11" s="213" customFormat="1" ht="50.1" customHeight="1" x14ac:dyDescent="0.25">
      <c r="F276" s="285"/>
      <c r="H276" s="285"/>
      <c r="I276" s="201"/>
      <c r="J276" s="201"/>
      <c r="K276" s="186"/>
    </row>
    <row r="277" spans="6:11" s="213" customFormat="1" ht="89.25" customHeight="1" x14ac:dyDescent="0.25">
      <c r="F277" s="285"/>
      <c r="H277" s="285"/>
      <c r="I277" s="201"/>
      <c r="J277" s="201"/>
      <c r="K277" s="186"/>
    </row>
    <row r="278" spans="6:11" s="213" customFormat="1" ht="50.1" customHeight="1" x14ac:dyDescent="0.25">
      <c r="F278" s="285"/>
      <c r="H278" s="285"/>
      <c r="I278" s="201"/>
      <c r="J278" s="201"/>
      <c r="K278" s="186"/>
    </row>
    <row r="279" spans="6:11" s="213" customFormat="1" ht="50.1" customHeight="1" x14ac:dyDescent="0.25">
      <c r="F279" s="285"/>
      <c r="H279" s="285"/>
      <c r="I279" s="201"/>
      <c r="J279" s="201"/>
      <c r="K279" s="186"/>
    </row>
    <row r="280" spans="6:11" s="213" customFormat="1" ht="50.1" customHeight="1" x14ac:dyDescent="0.25">
      <c r="F280" s="285"/>
      <c r="H280" s="285"/>
      <c r="I280" s="201"/>
      <c r="J280" s="201"/>
      <c r="K280" s="186"/>
    </row>
    <row r="281" spans="6:11" s="213" customFormat="1" ht="50.1" customHeight="1" x14ac:dyDescent="0.25">
      <c r="F281" s="285"/>
      <c r="H281" s="285"/>
      <c r="I281" s="201"/>
      <c r="J281" s="201"/>
      <c r="K281" s="186"/>
    </row>
    <row r="282" spans="6:11" s="213" customFormat="1" ht="50.1" customHeight="1" x14ac:dyDescent="0.25">
      <c r="F282" s="285"/>
      <c r="H282" s="285"/>
      <c r="I282" s="201"/>
      <c r="J282" s="201"/>
      <c r="K282" s="186"/>
    </row>
    <row r="283" spans="6:11" s="213" customFormat="1" ht="50.1" customHeight="1" x14ac:dyDescent="0.25">
      <c r="F283" s="285"/>
      <c r="H283" s="285"/>
      <c r="I283" s="201"/>
      <c r="J283" s="201"/>
      <c r="K283" s="186"/>
    </row>
    <row r="284" spans="6:11" s="213" customFormat="1" ht="50.1" customHeight="1" x14ac:dyDescent="0.25">
      <c r="F284" s="285"/>
      <c r="H284" s="285"/>
      <c r="I284" s="201"/>
      <c r="J284" s="201"/>
      <c r="K284" s="186"/>
    </row>
    <row r="285" spans="6:11" s="213" customFormat="1" ht="50.1" customHeight="1" x14ac:dyDescent="0.25">
      <c r="F285" s="285"/>
      <c r="H285" s="285"/>
      <c r="I285" s="201"/>
      <c r="J285" s="201"/>
      <c r="K285" s="186"/>
    </row>
    <row r="286" spans="6:11" s="213" customFormat="1" ht="50.1" customHeight="1" x14ac:dyDescent="0.25">
      <c r="F286" s="285"/>
      <c r="H286" s="285"/>
      <c r="I286" s="201"/>
      <c r="J286" s="201"/>
      <c r="K286" s="186"/>
    </row>
    <row r="287" spans="6:11" s="213" customFormat="1" ht="50.1" customHeight="1" x14ac:dyDescent="0.25">
      <c r="F287" s="285"/>
      <c r="H287" s="285"/>
      <c r="I287" s="201"/>
      <c r="J287" s="201"/>
      <c r="K287" s="186"/>
    </row>
    <row r="288" spans="6:11" s="213" customFormat="1" ht="50.1" customHeight="1" x14ac:dyDescent="0.25">
      <c r="F288" s="285"/>
      <c r="H288" s="285"/>
      <c r="I288" s="201"/>
      <c r="J288" s="201"/>
      <c r="K288" s="186"/>
    </row>
    <row r="289" spans="6:11" s="213" customFormat="1" ht="50.1" customHeight="1" x14ac:dyDescent="0.25">
      <c r="F289" s="285"/>
      <c r="H289" s="285"/>
      <c r="I289" s="201"/>
      <c r="J289" s="201"/>
      <c r="K289" s="186"/>
    </row>
    <row r="290" spans="6:11" s="213" customFormat="1" ht="50.1" customHeight="1" x14ac:dyDescent="0.25">
      <c r="F290" s="285"/>
      <c r="H290" s="285"/>
      <c r="I290" s="201"/>
      <c r="J290" s="201"/>
      <c r="K290" s="186"/>
    </row>
    <row r="291" spans="6:11" s="213" customFormat="1" ht="50.1" customHeight="1" x14ac:dyDescent="0.25">
      <c r="F291" s="285"/>
      <c r="H291" s="285"/>
      <c r="I291" s="201"/>
      <c r="J291" s="201"/>
      <c r="K291" s="186"/>
    </row>
    <row r="292" spans="6:11" s="213" customFormat="1" ht="50.1" customHeight="1" x14ac:dyDescent="0.25">
      <c r="F292" s="285"/>
      <c r="H292" s="285"/>
      <c r="I292" s="201"/>
      <c r="J292" s="201"/>
      <c r="K292" s="186"/>
    </row>
    <row r="293" spans="6:11" s="213" customFormat="1" ht="50.1" customHeight="1" x14ac:dyDescent="0.25">
      <c r="F293" s="285"/>
      <c r="H293" s="285"/>
      <c r="I293" s="201"/>
      <c r="J293" s="201"/>
      <c r="K293" s="186"/>
    </row>
    <row r="294" spans="6:11" s="213" customFormat="1" ht="50.1" customHeight="1" x14ac:dyDescent="0.25">
      <c r="F294" s="285"/>
      <c r="H294" s="285"/>
      <c r="I294" s="201"/>
      <c r="J294" s="201"/>
      <c r="K294" s="186"/>
    </row>
    <row r="295" spans="6:11" s="213" customFormat="1" ht="50.1" customHeight="1" x14ac:dyDescent="0.25">
      <c r="F295" s="285"/>
      <c r="H295" s="285"/>
      <c r="I295" s="201"/>
      <c r="J295" s="201"/>
      <c r="K295" s="186"/>
    </row>
    <row r="296" spans="6:11" s="213" customFormat="1" ht="50.1" customHeight="1" x14ac:dyDescent="0.25">
      <c r="F296" s="285"/>
      <c r="H296" s="285"/>
      <c r="I296" s="201"/>
      <c r="J296" s="201"/>
      <c r="K296" s="186"/>
    </row>
    <row r="297" spans="6:11" s="213" customFormat="1" ht="50.1" customHeight="1" x14ac:dyDescent="0.25">
      <c r="F297" s="285"/>
      <c r="H297" s="285"/>
      <c r="I297" s="201"/>
      <c r="J297" s="201"/>
      <c r="K297" s="186"/>
    </row>
    <row r="298" spans="6:11" s="213" customFormat="1" ht="50.1" customHeight="1" x14ac:dyDescent="0.25">
      <c r="F298" s="285"/>
      <c r="H298" s="285"/>
      <c r="I298" s="201"/>
      <c r="J298" s="201"/>
      <c r="K298" s="186"/>
    </row>
    <row r="299" spans="6:11" s="213" customFormat="1" ht="50.1" customHeight="1" x14ac:dyDescent="0.25">
      <c r="F299" s="285"/>
      <c r="H299" s="285"/>
      <c r="I299" s="201"/>
      <c r="J299" s="201"/>
      <c r="K299" s="186"/>
    </row>
    <row r="300" spans="6:11" s="213" customFormat="1" ht="50.1" customHeight="1" x14ac:dyDescent="0.25">
      <c r="F300" s="285"/>
      <c r="H300" s="285"/>
      <c r="I300" s="201"/>
      <c r="J300" s="201"/>
      <c r="K300" s="186"/>
    </row>
    <row r="301" spans="6:11" s="213" customFormat="1" ht="50.1" customHeight="1" x14ac:dyDescent="0.25">
      <c r="F301" s="285"/>
      <c r="H301" s="285"/>
      <c r="I301" s="201"/>
      <c r="J301" s="201"/>
      <c r="K301" s="186"/>
    </row>
    <row r="302" spans="6:11" s="213" customFormat="1" ht="50.1" customHeight="1" x14ac:dyDescent="0.25">
      <c r="F302" s="285"/>
      <c r="H302" s="285"/>
      <c r="I302" s="201"/>
      <c r="J302" s="201"/>
      <c r="K302" s="186"/>
    </row>
    <row r="303" spans="6:11" s="213" customFormat="1" ht="50.1" customHeight="1" x14ac:dyDescent="0.25">
      <c r="F303" s="285"/>
      <c r="H303" s="285"/>
      <c r="I303" s="201"/>
      <c r="J303" s="201"/>
      <c r="K303" s="186"/>
    </row>
    <row r="304" spans="6:11" s="213" customFormat="1" ht="50.1" customHeight="1" x14ac:dyDescent="0.25">
      <c r="F304" s="285"/>
      <c r="H304" s="285"/>
      <c r="I304" s="201"/>
      <c r="J304" s="201"/>
      <c r="K304" s="186"/>
    </row>
    <row r="305" spans="6:11" s="213" customFormat="1" ht="50.1" customHeight="1" x14ac:dyDescent="0.25">
      <c r="F305" s="285"/>
      <c r="H305" s="285"/>
      <c r="I305" s="201"/>
      <c r="J305" s="201"/>
      <c r="K305" s="186"/>
    </row>
    <row r="306" spans="6:11" s="213" customFormat="1" ht="50.1" customHeight="1" x14ac:dyDescent="0.25">
      <c r="F306" s="285"/>
      <c r="H306" s="285"/>
      <c r="I306" s="201"/>
      <c r="J306" s="201"/>
      <c r="K306" s="186"/>
    </row>
    <row r="307" spans="6:11" s="213" customFormat="1" ht="50.1" customHeight="1" x14ac:dyDescent="0.25">
      <c r="F307" s="285"/>
      <c r="H307" s="285"/>
      <c r="I307" s="201"/>
      <c r="J307" s="201"/>
      <c r="K307" s="186"/>
    </row>
    <row r="308" spans="6:11" s="213" customFormat="1" ht="50.1" customHeight="1" x14ac:dyDescent="0.25">
      <c r="F308" s="285"/>
      <c r="H308" s="285"/>
      <c r="I308" s="201"/>
      <c r="J308" s="201"/>
      <c r="K308" s="186"/>
    </row>
    <row r="309" spans="6:11" s="213" customFormat="1" ht="50.1" customHeight="1" x14ac:dyDescent="0.25">
      <c r="F309" s="285"/>
      <c r="H309" s="285"/>
      <c r="I309" s="201"/>
      <c r="J309" s="201"/>
      <c r="K309" s="186"/>
    </row>
    <row r="310" spans="6:11" s="213" customFormat="1" ht="50.1" customHeight="1" x14ac:dyDescent="0.25">
      <c r="F310" s="285"/>
      <c r="H310" s="285"/>
      <c r="I310" s="201"/>
      <c r="J310" s="201"/>
      <c r="K310" s="186"/>
    </row>
    <row r="311" spans="6:11" s="213" customFormat="1" ht="50.1" customHeight="1" x14ac:dyDescent="0.25">
      <c r="F311" s="285"/>
      <c r="H311" s="285"/>
      <c r="I311" s="201"/>
      <c r="J311" s="201"/>
      <c r="K311" s="186"/>
    </row>
    <row r="312" spans="6:11" s="213" customFormat="1" ht="50.1" customHeight="1" x14ac:dyDescent="0.25">
      <c r="F312" s="285"/>
      <c r="H312" s="285"/>
      <c r="I312" s="201"/>
      <c r="J312" s="201"/>
      <c r="K312" s="186"/>
    </row>
    <row r="313" spans="6:11" s="213" customFormat="1" ht="50.1" customHeight="1" x14ac:dyDescent="0.25">
      <c r="F313" s="285"/>
      <c r="H313" s="285"/>
      <c r="I313" s="201"/>
      <c r="J313" s="201"/>
      <c r="K313" s="186"/>
    </row>
    <row r="314" spans="6:11" s="213" customFormat="1" ht="50.1" customHeight="1" x14ac:dyDescent="0.25">
      <c r="F314" s="285"/>
      <c r="H314" s="285"/>
      <c r="I314" s="201"/>
      <c r="J314" s="201"/>
      <c r="K314" s="186"/>
    </row>
    <row r="315" spans="6:11" s="213" customFormat="1" ht="71.25" customHeight="1" x14ac:dyDescent="0.25">
      <c r="F315" s="285"/>
      <c r="H315" s="285"/>
      <c r="I315" s="201"/>
      <c r="J315" s="201"/>
      <c r="K315" s="186"/>
    </row>
    <row r="316" spans="6:11" s="213" customFormat="1" ht="93.75" customHeight="1" x14ac:dyDescent="0.25">
      <c r="F316" s="285"/>
      <c r="H316" s="285"/>
      <c r="I316" s="201"/>
      <c r="J316" s="201"/>
      <c r="K316" s="186"/>
    </row>
    <row r="317" spans="6:11" s="213" customFormat="1" ht="50.1" customHeight="1" x14ac:dyDescent="0.25">
      <c r="F317" s="285"/>
      <c r="H317" s="285"/>
      <c r="I317" s="201"/>
      <c r="J317" s="201"/>
      <c r="K317" s="186"/>
    </row>
    <row r="318" spans="6:11" s="213" customFormat="1" ht="50.1" customHeight="1" x14ac:dyDescent="0.25">
      <c r="F318" s="285"/>
      <c r="H318" s="285"/>
      <c r="I318" s="201"/>
      <c r="J318" s="201"/>
      <c r="K318" s="186"/>
    </row>
    <row r="319" spans="6:11" s="213" customFormat="1" ht="50.1" customHeight="1" x14ac:dyDescent="0.25">
      <c r="F319" s="285"/>
      <c r="H319" s="285"/>
      <c r="I319" s="201"/>
      <c r="J319" s="201"/>
      <c r="K319" s="186"/>
    </row>
    <row r="320" spans="6:11" s="213" customFormat="1" ht="50.1" customHeight="1" x14ac:dyDescent="0.25">
      <c r="F320" s="285"/>
      <c r="H320" s="285"/>
      <c r="I320" s="201"/>
      <c r="J320" s="201"/>
      <c r="K320" s="186"/>
    </row>
    <row r="321" spans="6:11" s="213" customFormat="1" ht="50.1" customHeight="1" x14ac:dyDescent="0.25">
      <c r="F321" s="285"/>
      <c r="H321" s="285"/>
      <c r="I321" s="201"/>
      <c r="J321" s="201"/>
      <c r="K321" s="186"/>
    </row>
    <row r="322" spans="6:11" s="213" customFormat="1" ht="50.1" customHeight="1" x14ac:dyDescent="0.25">
      <c r="F322" s="285"/>
      <c r="H322" s="285"/>
      <c r="I322" s="201"/>
      <c r="J322" s="201"/>
      <c r="K322" s="186"/>
    </row>
    <row r="323" spans="6:11" s="213" customFormat="1" ht="50.1" customHeight="1" x14ac:dyDescent="0.25">
      <c r="F323" s="285"/>
      <c r="H323" s="285"/>
      <c r="I323" s="201"/>
      <c r="J323" s="201"/>
      <c r="K323" s="186"/>
    </row>
    <row r="324" spans="6:11" s="213" customFormat="1" ht="50.1" customHeight="1" x14ac:dyDescent="0.25">
      <c r="F324" s="285"/>
      <c r="H324" s="285"/>
      <c r="I324" s="201"/>
      <c r="J324" s="201"/>
      <c r="K324" s="186"/>
    </row>
    <row r="325" spans="6:11" s="213" customFormat="1" ht="94.5" customHeight="1" x14ac:dyDescent="0.25">
      <c r="F325" s="285"/>
      <c r="H325" s="285"/>
      <c r="I325" s="201"/>
      <c r="J325" s="201"/>
      <c r="K325" s="186"/>
    </row>
    <row r="326" spans="6:11" s="213" customFormat="1" ht="99.75" customHeight="1" x14ac:dyDescent="0.25">
      <c r="F326" s="285"/>
      <c r="H326" s="285"/>
      <c r="I326" s="201"/>
      <c r="J326" s="201"/>
      <c r="K326" s="186"/>
    </row>
    <row r="327" spans="6:11" s="213" customFormat="1" ht="50.1" customHeight="1" x14ac:dyDescent="0.25">
      <c r="F327" s="285"/>
      <c r="H327" s="285"/>
      <c r="I327" s="201"/>
      <c r="J327" s="201"/>
      <c r="K327" s="186"/>
    </row>
    <row r="328" spans="6:11" s="213" customFormat="1" ht="50.1" customHeight="1" x14ac:dyDescent="0.25">
      <c r="F328" s="285"/>
      <c r="H328" s="285"/>
      <c r="I328" s="201"/>
      <c r="J328" s="201"/>
      <c r="K328" s="186"/>
    </row>
    <row r="329" spans="6:11" s="213" customFormat="1" ht="50.1" customHeight="1" x14ac:dyDescent="0.25">
      <c r="F329" s="285"/>
      <c r="H329" s="285"/>
      <c r="I329" s="201"/>
      <c r="J329" s="201"/>
      <c r="K329" s="186"/>
    </row>
    <row r="330" spans="6:11" s="213" customFormat="1" ht="50.1" customHeight="1" x14ac:dyDescent="0.25">
      <c r="F330" s="285"/>
      <c r="H330" s="285"/>
      <c r="I330" s="201"/>
      <c r="J330" s="201"/>
      <c r="K330" s="186"/>
    </row>
    <row r="331" spans="6:11" s="213" customFormat="1" ht="50.1" customHeight="1" x14ac:dyDescent="0.25">
      <c r="F331" s="285"/>
      <c r="H331" s="285"/>
      <c r="I331" s="201"/>
      <c r="J331" s="201"/>
      <c r="K331" s="186"/>
    </row>
    <row r="332" spans="6:11" s="213" customFormat="1" ht="50.1" customHeight="1" x14ac:dyDescent="0.25">
      <c r="F332" s="285"/>
      <c r="H332" s="285"/>
      <c r="I332" s="201"/>
      <c r="J332" s="201"/>
      <c r="K332" s="186"/>
    </row>
    <row r="333" spans="6:11" s="213" customFormat="1" ht="50.1" customHeight="1" x14ac:dyDescent="0.25">
      <c r="F333" s="285"/>
      <c r="H333" s="285"/>
      <c r="I333" s="201"/>
      <c r="J333" s="201"/>
      <c r="K333" s="186"/>
    </row>
    <row r="334" spans="6:11" s="213" customFormat="1" ht="50.1" customHeight="1" x14ac:dyDescent="0.25">
      <c r="F334" s="285"/>
      <c r="H334" s="285"/>
      <c r="I334" s="201"/>
      <c r="J334" s="201"/>
      <c r="K334" s="186"/>
    </row>
    <row r="335" spans="6:11" s="213" customFormat="1" ht="50.1" customHeight="1" x14ac:dyDescent="0.25">
      <c r="F335" s="285"/>
      <c r="H335" s="285"/>
      <c r="I335" s="201"/>
      <c r="J335" s="201"/>
      <c r="K335" s="186"/>
    </row>
    <row r="336" spans="6:11" s="213" customFormat="1" ht="50.1" customHeight="1" x14ac:dyDescent="0.25">
      <c r="F336" s="285"/>
      <c r="H336" s="285"/>
      <c r="I336" s="201"/>
      <c r="J336" s="201"/>
      <c r="K336" s="186"/>
    </row>
    <row r="337" spans="6:11" s="213" customFormat="1" ht="50.1" customHeight="1" x14ac:dyDescent="0.25">
      <c r="F337" s="285"/>
      <c r="H337" s="285"/>
      <c r="I337" s="201"/>
      <c r="J337" s="201"/>
      <c r="K337" s="186"/>
    </row>
    <row r="338" spans="6:11" s="213" customFormat="1" ht="50.1" customHeight="1" x14ac:dyDescent="0.25">
      <c r="F338" s="285"/>
      <c r="H338" s="285"/>
      <c r="I338" s="201"/>
      <c r="J338" s="201"/>
      <c r="K338" s="186"/>
    </row>
    <row r="339" spans="6:11" s="213" customFormat="1" ht="50.1" customHeight="1" x14ac:dyDescent="0.25">
      <c r="F339" s="285"/>
      <c r="H339" s="285"/>
      <c r="I339" s="201"/>
      <c r="J339" s="201"/>
      <c r="K339" s="186"/>
    </row>
    <row r="340" spans="6:11" s="213" customFormat="1" ht="50.1" customHeight="1" x14ac:dyDescent="0.25">
      <c r="F340" s="285"/>
      <c r="H340" s="285"/>
      <c r="I340" s="201"/>
      <c r="J340" s="201"/>
      <c r="K340" s="186"/>
    </row>
    <row r="341" spans="6:11" s="213" customFormat="1" ht="50.1" customHeight="1" x14ac:dyDescent="0.25">
      <c r="F341" s="285"/>
      <c r="H341" s="285"/>
      <c r="I341" s="201"/>
      <c r="J341" s="201"/>
      <c r="K341" s="186"/>
    </row>
    <row r="342" spans="6:11" s="213" customFormat="1" ht="50.1" customHeight="1" x14ac:dyDescent="0.25">
      <c r="F342" s="285"/>
      <c r="H342" s="285"/>
      <c r="I342" s="201"/>
      <c r="J342" s="201"/>
      <c r="K342" s="186"/>
    </row>
    <row r="343" spans="6:11" s="213" customFormat="1" ht="50.1" customHeight="1" x14ac:dyDescent="0.25">
      <c r="F343" s="285"/>
      <c r="H343" s="285"/>
      <c r="I343" s="201"/>
      <c r="J343" s="201"/>
      <c r="K343" s="186"/>
    </row>
    <row r="344" spans="6:11" s="213" customFormat="1" ht="50.1" customHeight="1" x14ac:dyDescent="0.25">
      <c r="F344" s="285"/>
      <c r="H344" s="285"/>
      <c r="I344" s="201"/>
      <c r="J344" s="201"/>
      <c r="K344" s="186"/>
    </row>
    <row r="345" spans="6:11" s="213" customFormat="1" ht="50.1" customHeight="1" x14ac:dyDescent="0.25">
      <c r="F345" s="285"/>
      <c r="H345" s="285"/>
      <c r="I345" s="201"/>
      <c r="J345" s="201"/>
      <c r="K345" s="186"/>
    </row>
    <row r="346" spans="6:11" s="213" customFormat="1" ht="50.1" customHeight="1" x14ac:dyDescent="0.25">
      <c r="F346" s="285"/>
      <c r="H346" s="285"/>
      <c r="I346" s="201"/>
      <c r="J346" s="201"/>
      <c r="K346" s="186"/>
    </row>
    <row r="347" spans="6:11" s="213" customFormat="1" ht="50.1" customHeight="1" x14ac:dyDescent="0.25">
      <c r="F347" s="285"/>
      <c r="H347" s="285"/>
      <c r="I347" s="201"/>
      <c r="J347" s="201"/>
      <c r="K347" s="186"/>
    </row>
    <row r="348" spans="6:11" s="213" customFormat="1" ht="50.1" customHeight="1" x14ac:dyDescent="0.25">
      <c r="F348" s="285"/>
      <c r="H348" s="285"/>
      <c r="I348" s="201"/>
      <c r="J348" s="201"/>
      <c r="K348" s="186"/>
    </row>
    <row r="349" spans="6:11" s="213" customFormat="1" ht="50.1" customHeight="1" x14ac:dyDescent="0.25">
      <c r="F349" s="285"/>
      <c r="H349" s="285"/>
      <c r="I349" s="201"/>
      <c r="J349" s="201"/>
      <c r="K349" s="186"/>
    </row>
    <row r="350" spans="6:11" s="213" customFormat="1" ht="50.1" customHeight="1" x14ac:dyDescent="0.25">
      <c r="F350" s="285"/>
      <c r="H350" s="285"/>
      <c r="I350" s="201"/>
      <c r="J350" s="201"/>
      <c r="K350" s="186"/>
    </row>
    <row r="351" spans="6:11" s="213" customFormat="1" ht="50.1" customHeight="1" x14ac:dyDescent="0.25">
      <c r="F351" s="285"/>
      <c r="H351" s="285"/>
      <c r="I351" s="201"/>
      <c r="J351" s="201"/>
      <c r="K351" s="186"/>
    </row>
    <row r="352" spans="6:11" s="213" customFormat="1" ht="50.1" customHeight="1" x14ac:dyDescent="0.25">
      <c r="F352" s="285"/>
      <c r="H352" s="285"/>
      <c r="I352" s="201"/>
      <c r="J352" s="201"/>
      <c r="K352" s="186"/>
    </row>
    <row r="353" spans="6:11" s="213" customFormat="1" ht="50.1" customHeight="1" x14ac:dyDescent="0.25">
      <c r="F353" s="285"/>
      <c r="H353" s="285"/>
      <c r="I353" s="201"/>
      <c r="J353" s="201"/>
      <c r="K353" s="186"/>
    </row>
    <row r="354" spans="6:11" s="213" customFormat="1" ht="50.1" customHeight="1" x14ac:dyDescent="0.25">
      <c r="F354" s="285"/>
      <c r="H354" s="285"/>
      <c r="I354" s="201"/>
      <c r="J354" s="201"/>
      <c r="K354" s="186"/>
    </row>
    <row r="355" spans="6:11" s="213" customFormat="1" ht="50.1" customHeight="1" x14ac:dyDescent="0.25">
      <c r="F355" s="285"/>
      <c r="H355" s="285"/>
      <c r="I355" s="201"/>
      <c r="J355" s="201"/>
      <c r="K355" s="186"/>
    </row>
    <row r="356" spans="6:11" s="213" customFormat="1" ht="50.1" customHeight="1" x14ac:dyDescent="0.25">
      <c r="F356" s="285"/>
      <c r="H356" s="285"/>
      <c r="I356" s="201"/>
      <c r="J356" s="201"/>
      <c r="K356" s="186"/>
    </row>
    <row r="357" spans="6:11" s="213" customFormat="1" ht="50.1" customHeight="1" x14ac:dyDescent="0.25">
      <c r="F357" s="285"/>
      <c r="H357" s="285"/>
      <c r="I357" s="201"/>
      <c r="J357" s="201"/>
      <c r="K357" s="186"/>
    </row>
    <row r="358" spans="6:11" s="213" customFormat="1" ht="50.1" customHeight="1" x14ac:dyDescent="0.25">
      <c r="F358" s="285"/>
      <c r="H358" s="285"/>
      <c r="I358" s="201"/>
      <c r="J358" s="201"/>
      <c r="K358" s="186"/>
    </row>
    <row r="359" spans="6:11" s="213" customFormat="1" ht="50.1" customHeight="1" x14ac:dyDescent="0.25">
      <c r="F359" s="285"/>
      <c r="H359" s="285"/>
      <c r="I359" s="201"/>
      <c r="J359" s="201"/>
      <c r="K359" s="186"/>
    </row>
    <row r="360" spans="6:11" s="213" customFormat="1" ht="50.1" customHeight="1" x14ac:dyDescent="0.25">
      <c r="F360" s="285"/>
      <c r="H360" s="285"/>
      <c r="I360" s="201"/>
      <c r="J360" s="201"/>
      <c r="K360" s="186"/>
    </row>
    <row r="361" spans="6:11" s="213" customFormat="1" ht="50.1" customHeight="1" x14ac:dyDescent="0.25">
      <c r="F361" s="285"/>
      <c r="H361" s="285"/>
      <c r="I361" s="201"/>
      <c r="J361" s="201"/>
      <c r="K361" s="186"/>
    </row>
    <row r="362" spans="6:11" s="213" customFormat="1" ht="50.1" customHeight="1" x14ac:dyDescent="0.25">
      <c r="F362" s="285"/>
      <c r="H362" s="285"/>
      <c r="I362" s="201"/>
      <c r="J362" s="201"/>
      <c r="K362" s="186"/>
    </row>
    <row r="363" spans="6:11" s="213" customFormat="1" ht="50.1" customHeight="1" x14ac:dyDescent="0.25">
      <c r="F363" s="285"/>
      <c r="H363" s="285"/>
      <c r="I363" s="201"/>
      <c r="J363" s="201"/>
      <c r="K363" s="186"/>
    </row>
    <row r="364" spans="6:11" s="213" customFormat="1" ht="339.75" customHeight="1" x14ac:dyDescent="0.25">
      <c r="F364" s="285"/>
      <c r="H364" s="285"/>
      <c r="I364" s="201"/>
      <c r="J364" s="201"/>
      <c r="K364" s="186"/>
    </row>
    <row r="365" spans="6:11" s="213" customFormat="1" ht="50.1" customHeight="1" x14ac:dyDescent="0.25">
      <c r="F365" s="285"/>
      <c r="H365" s="285"/>
      <c r="I365" s="201"/>
      <c r="J365" s="201"/>
      <c r="K365" s="186"/>
    </row>
    <row r="366" spans="6:11" s="213" customFormat="1" ht="101.25" customHeight="1" x14ac:dyDescent="0.25">
      <c r="F366" s="285"/>
      <c r="H366" s="285"/>
      <c r="I366" s="201"/>
      <c r="J366" s="201"/>
      <c r="K366" s="186"/>
    </row>
    <row r="367" spans="6:11" s="213" customFormat="1" ht="50.1" customHeight="1" x14ac:dyDescent="0.25">
      <c r="F367" s="285"/>
      <c r="H367" s="285"/>
      <c r="I367" s="201"/>
      <c r="J367" s="201"/>
      <c r="K367" s="186"/>
    </row>
    <row r="368" spans="6:11" s="213" customFormat="1" ht="50.1" customHeight="1" x14ac:dyDescent="0.25">
      <c r="F368" s="285"/>
      <c r="H368" s="285"/>
      <c r="I368" s="201"/>
      <c r="J368" s="201"/>
      <c r="K368" s="186"/>
    </row>
    <row r="369" spans="6:11" s="213" customFormat="1" ht="50.1" customHeight="1" x14ac:dyDescent="0.25">
      <c r="F369" s="285"/>
      <c r="H369" s="285"/>
      <c r="I369" s="201"/>
      <c r="J369" s="201"/>
      <c r="K369" s="186"/>
    </row>
    <row r="370" spans="6:11" s="213" customFormat="1" ht="50.1" customHeight="1" x14ac:dyDescent="0.25">
      <c r="F370" s="285"/>
      <c r="H370" s="285"/>
      <c r="I370" s="201"/>
      <c r="J370" s="201"/>
      <c r="K370" s="186"/>
    </row>
    <row r="371" spans="6:11" s="213" customFormat="1" ht="50.1" customHeight="1" x14ac:dyDescent="0.25">
      <c r="F371" s="285"/>
      <c r="H371" s="285"/>
      <c r="I371" s="201"/>
      <c r="J371" s="201"/>
      <c r="K371" s="186"/>
    </row>
    <row r="372" spans="6:11" s="213" customFormat="1" ht="50.1" customHeight="1" x14ac:dyDescent="0.25">
      <c r="F372" s="285"/>
      <c r="H372" s="285"/>
      <c r="I372" s="201"/>
      <c r="J372" s="201"/>
      <c r="K372" s="186"/>
    </row>
    <row r="373" spans="6:11" s="213" customFormat="1" ht="50.1" customHeight="1" x14ac:dyDescent="0.25">
      <c r="F373" s="285"/>
      <c r="H373" s="285"/>
      <c r="I373" s="201"/>
      <c r="J373" s="201"/>
      <c r="K373" s="186"/>
    </row>
    <row r="374" spans="6:11" s="213" customFormat="1" ht="50.1" customHeight="1" x14ac:dyDescent="0.25">
      <c r="F374" s="285"/>
      <c r="H374" s="285"/>
      <c r="I374" s="201"/>
      <c r="J374" s="201"/>
      <c r="K374" s="186"/>
    </row>
    <row r="375" spans="6:11" s="213" customFormat="1" ht="50.1" customHeight="1" x14ac:dyDescent="0.25">
      <c r="F375" s="285"/>
      <c r="H375" s="285"/>
      <c r="I375" s="201"/>
      <c r="J375" s="201"/>
      <c r="K375" s="186"/>
    </row>
    <row r="376" spans="6:11" s="213" customFormat="1" ht="50.1" customHeight="1" x14ac:dyDescent="0.25">
      <c r="F376" s="285"/>
      <c r="H376" s="285"/>
      <c r="I376" s="201"/>
      <c r="J376" s="201"/>
      <c r="K376" s="186"/>
    </row>
    <row r="377" spans="6:11" s="213" customFormat="1" ht="50.1" customHeight="1" x14ac:dyDescent="0.25">
      <c r="F377" s="285"/>
      <c r="H377" s="285"/>
      <c r="I377" s="201"/>
      <c r="J377" s="201"/>
      <c r="K377" s="186"/>
    </row>
    <row r="378" spans="6:11" s="213" customFormat="1" ht="50.1" customHeight="1" x14ac:dyDescent="0.25">
      <c r="F378" s="285"/>
      <c r="H378" s="285"/>
      <c r="I378" s="201"/>
      <c r="J378" s="201"/>
      <c r="K378" s="186"/>
    </row>
    <row r="379" spans="6:11" s="213" customFormat="1" ht="50.1" customHeight="1" x14ac:dyDescent="0.25">
      <c r="F379" s="285"/>
      <c r="H379" s="285"/>
      <c r="I379" s="201"/>
      <c r="J379" s="201"/>
      <c r="K379" s="186"/>
    </row>
    <row r="380" spans="6:11" s="213" customFormat="1" ht="50.1" customHeight="1" x14ac:dyDescent="0.25">
      <c r="F380" s="285"/>
      <c r="H380" s="285"/>
      <c r="I380" s="201"/>
      <c r="J380" s="201"/>
      <c r="K380" s="186"/>
    </row>
    <row r="381" spans="6:11" s="213" customFormat="1" ht="50.1" customHeight="1" x14ac:dyDescent="0.25">
      <c r="F381" s="285"/>
      <c r="H381" s="285"/>
      <c r="I381" s="201"/>
      <c r="J381" s="201"/>
      <c r="K381" s="186"/>
    </row>
    <row r="382" spans="6:11" s="213" customFormat="1" ht="50.1" customHeight="1" x14ac:dyDescent="0.25">
      <c r="F382" s="285"/>
      <c r="H382" s="285"/>
      <c r="I382" s="201"/>
      <c r="J382" s="201"/>
      <c r="K382" s="186"/>
    </row>
    <row r="383" spans="6:11" s="213" customFormat="1" ht="50.1" customHeight="1" x14ac:dyDescent="0.25">
      <c r="F383" s="285"/>
      <c r="H383" s="285"/>
      <c r="I383" s="201"/>
      <c r="J383" s="201"/>
      <c r="K383" s="186"/>
    </row>
    <row r="384" spans="6:11" s="213" customFormat="1" ht="50.1" customHeight="1" x14ac:dyDescent="0.25">
      <c r="F384" s="285"/>
      <c r="H384" s="285"/>
      <c r="I384" s="201"/>
      <c r="J384" s="201"/>
      <c r="K384" s="186"/>
    </row>
    <row r="385" spans="6:11" s="213" customFormat="1" ht="50.1" customHeight="1" x14ac:dyDescent="0.25">
      <c r="F385" s="285"/>
      <c r="H385" s="285"/>
      <c r="I385" s="201"/>
      <c r="J385" s="201"/>
      <c r="K385" s="186"/>
    </row>
    <row r="386" spans="6:11" s="213" customFormat="1" ht="50.1" customHeight="1" x14ac:dyDescent="0.25">
      <c r="F386" s="285"/>
      <c r="H386" s="285"/>
      <c r="I386" s="201"/>
      <c r="J386" s="201"/>
      <c r="K386" s="186"/>
    </row>
    <row r="387" spans="6:11" s="213" customFormat="1" ht="50.1" customHeight="1" x14ac:dyDescent="0.25">
      <c r="F387" s="285"/>
      <c r="H387" s="285"/>
      <c r="I387" s="201"/>
      <c r="J387" s="201"/>
      <c r="K387" s="186"/>
    </row>
    <row r="388" spans="6:11" s="213" customFormat="1" ht="50.1" customHeight="1" x14ac:dyDescent="0.25">
      <c r="F388" s="285"/>
      <c r="H388" s="285"/>
      <c r="I388" s="201"/>
      <c r="J388" s="201"/>
      <c r="K388" s="186"/>
    </row>
    <row r="389" spans="6:11" s="213" customFormat="1" ht="50.1" customHeight="1" x14ac:dyDescent="0.25">
      <c r="F389" s="285"/>
      <c r="H389" s="285"/>
      <c r="I389" s="201"/>
      <c r="J389" s="201"/>
      <c r="K389" s="186"/>
    </row>
    <row r="390" spans="6:11" s="213" customFormat="1" ht="50.1" customHeight="1" x14ac:dyDescent="0.25">
      <c r="F390" s="285"/>
      <c r="H390" s="285"/>
      <c r="I390" s="201"/>
      <c r="J390" s="201"/>
      <c r="K390" s="186"/>
    </row>
    <row r="391" spans="6:11" s="213" customFormat="1" ht="50.1" customHeight="1" x14ac:dyDescent="0.25">
      <c r="F391" s="285"/>
      <c r="H391" s="285"/>
      <c r="I391" s="201"/>
      <c r="J391" s="201"/>
      <c r="K391" s="186"/>
    </row>
    <row r="392" spans="6:11" s="213" customFormat="1" ht="50.1" customHeight="1" x14ac:dyDescent="0.25">
      <c r="F392" s="285"/>
      <c r="H392" s="285"/>
      <c r="I392" s="201"/>
      <c r="J392" s="201"/>
      <c r="K392" s="186"/>
    </row>
    <row r="393" spans="6:11" s="213" customFormat="1" ht="50.1" customHeight="1" x14ac:dyDescent="0.25">
      <c r="F393" s="285"/>
      <c r="H393" s="285"/>
      <c r="I393" s="201"/>
      <c r="J393" s="201"/>
      <c r="K393" s="186"/>
    </row>
    <row r="394" spans="6:11" s="213" customFormat="1" ht="50.1" customHeight="1" x14ac:dyDescent="0.25">
      <c r="F394" s="285"/>
      <c r="H394" s="285"/>
      <c r="I394" s="201"/>
      <c r="J394" s="201"/>
      <c r="K394" s="186"/>
    </row>
    <row r="395" spans="6:11" s="213" customFormat="1" ht="50.1" customHeight="1" x14ac:dyDescent="0.25">
      <c r="F395" s="285"/>
      <c r="H395" s="285"/>
      <c r="I395" s="201"/>
      <c r="J395" s="201"/>
      <c r="K395" s="186"/>
    </row>
    <row r="396" spans="6:11" s="213" customFormat="1" ht="50.1" customHeight="1" x14ac:dyDescent="0.25">
      <c r="F396" s="285"/>
      <c r="H396" s="285"/>
      <c r="I396" s="201"/>
      <c r="J396" s="201"/>
      <c r="K396" s="186"/>
    </row>
    <row r="397" spans="6:11" s="213" customFormat="1" ht="50.1" customHeight="1" x14ac:dyDescent="0.25">
      <c r="F397" s="285"/>
      <c r="H397" s="285"/>
      <c r="I397" s="201"/>
      <c r="J397" s="201"/>
      <c r="K397" s="186"/>
    </row>
    <row r="398" spans="6:11" s="213" customFormat="1" ht="50.1" customHeight="1" x14ac:dyDescent="0.25">
      <c r="F398" s="285"/>
      <c r="H398" s="285"/>
      <c r="I398" s="201"/>
      <c r="J398" s="201"/>
      <c r="K398" s="186"/>
    </row>
    <row r="399" spans="6:11" s="213" customFormat="1" ht="50.1" customHeight="1" x14ac:dyDescent="0.25">
      <c r="F399" s="285"/>
      <c r="H399" s="285"/>
      <c r="I399" s="201"/>
      <c r="J399" s="201"/>
      <c r="K399" s="186"/>
    </row>
    <row r="400" spans="6:11" s="213" customFormat="1" ht="50.1" customHeight="1" x14ac:dyDescent="0.25">
      <c r="F400" s="285"/>
      <c r="H400" s="285"/>
      <c r="I400" s="201"/>
      <c r="J400" s="201"/>
      <c r="K400" s="186"/>
    </row>
    <row r="401" spans="6:11" s="213" customFormat="1" ht="50.1" customHeight="1" x14ac:dyDescent="0.25">
      <c r="F401" s="285"/>
      <c r="H401" s="285"/>
      <c r="I401" s="201"/>
      <c r="J401" s="201"/>
      <c r="K401" s="186"/>
    </row>
    <row r="402" spans="6:11" s="213" customFormat="1" ht="50.1" customHeight="1" x14ac:dyDescent="0.25">
      <c r="F402" s="285"/>
      <c r="H402" s="285"/>
      <c r="I402" s="201"/>
      <c r="J402" s="201"/>
      <c r="K402" s="186"/>
    </row>
    <row r="403" spans="6:11" s="213" customFormat="1" ht="50.1" customHeight="1" x14ac:dyDescent="0.25">
      <c r="F403" s="285"/>
      <c r="H403" s="285"/>
      <c r="I403" s="201"/>
      <c r="J403" s="201"/>
      <c r="K403" s="186"/>
    </row>
    <row r="404" spans="6:11" s="213" customFormat="1" ht="50.1" customHeight="1" x14ac:dyDescent="0.25">
      <c r="F404" s="285"/>
      <c r="H404" s="285"/>
      <c r="I404" s="201"/>
      <c r="J404" s="201"/>
      <c r="K404" s="186"/>
    </row>
    <row r="405" spans="6:11" s="213" customFormat="1" ht="50.1" customHeight="1" x14ac:dyDescent="0.25">
      <c r="F405" s="285"/>
      <c r="H405" s="285"/>
      <c r="I405" s="201"/>
      <c r="J405" s="201"/>
      <c r="K405" s="186"/>
    </row>
    <row r="406" spans="6:11" s="213" customFormat="1" ht="50.1" customHeight="1" x14ac:dyDescent="0.25">
      <c r="F406" s="285"/>
      <c r="H406" s="285"/>
      <c r="I406" s="201"/>
      <c r="J406" s="201"/>
      <c r="K406" s="186"/>
    </row>
    <row r="407" spans="6:11" s="213" customFormat="1" ht="50.1" customHeight="1" x14ac:dyDescent="0.25">
      <c r="F407" s="285"/>
      <c r="H407" s="285"/>
      <c r="I407" s="201"/>
      <c r="J407" s="201"/>
      <c r="K407" s="186"/>
    </row>
    <row r="408" spans="6:11" s="213" customFormat="1" ht="50.1" customHeight="1" x14ac:dyDescent="0.25">
      <c r="F408" s="285"/>
      <c r="H408" s="285"/>
      <c r="I408" s="201"/>
      <c r="J408" s="201"/>
      <c r="K408" s="186"/>
    </row>
    <row r="409" spans="6:11" s="213" customFormat="1" ht="50.1" customHeight="1" x14ac:dyDescent="0.25">
      <c r="F409" s="285"/>
      <c r="H409" s="285"/>
      <c r="I409" s="201"/>
      <c r="J409" s="201"/>
      <c r="K409" s="186"/>
    </row>
    <row r="410" spans="6:11" s="213" customFormat="1" ht="50.1" customHeight="1" x14ac:dyDescent="0.25">
      <c r="F410" s="285"/>
      <c r="H410" s="285"/>
      <c r="I410" s="201"/>
      <c r="J410" s="201"/>
      <c r="K410" s="186"/>
    </row>
    <row r="411" spans="6:11" s="213" customFormat="1" ht="50.1" customHeight="1" x14ac:dyDescent="0.25">
      <c r="F411" s="285"/>
      <c r="H411" s="285"/>
      <c r="I411" s="201"/>
      <c r="J411" s="201"/>
      <c r="K411" s="186"/>
    </row>
    <row r="412" spans="6:11" s="213" customFormat="1" ht="50.1" customHeight="1" x14ac:dyDescent="0.25">
      <c r="F412" s="285"/>
      <c r="H412" s="285"/>
      <c r="I412" s="201"/>
      <c r="J412" s="201"/>
      <c r="K412" s="186"/>
    </row>
    <row r="413" spans="6:11" s="213" customFormat="1" ht="50.1" customHeight="1" x14ac:dyDescent="0.25">
      <c r="F413" s="285"/>
      <c r="H413" s="285"/>
      <c r="I413" s="201"/>
      <c r="J413" s="201"/>
      <c r="K413" s="186"/>
    </row>
    <row r="414" spans="6:11" s="213" customFormat="1" ht="50.1" customHeight="1" x14ac:dyDescent="0.25">
      <c r="F414" s="285"/>
      <c r="H414" s="285"/>
      <c r="I414" s="201"/>
      <c r="J414" s="201"/>
      <c r="K414" s="186"/>
    </row>
    <row r="415" spans="6:11" s="213" customFormat="1" ht="50.1" customHeight="1" x14ac:dyDescent="0.25">
      <c r="F415" s="285"/>
      <c r="H415" s="285"/>
      <c r="I415" s="201"/>
      <c r="J415" s="201"/>
      <c r="K415" s="186"/>
    </row>
    <row r="416" spans="6:11" s="213" customFormat="1" ht="50.1" customHeight="1" x14ac:dyDescent="0.25">
      <c r="F416" s="285"/>
      <c r="H416" s="285"/>
      <c r="I416" s="201"/>
      <c r="J416" s="201"/>
      <c r="K416" s="186"/>
    </row>
    <row r="417" spans="6:11" s="213" customFormat="1" ht="50.1" customHeight="1" x14ac:dyDescent="0.25">
      <c r="F417" s="285"/>
      <c r="H417" s="285"/>
      <c r="I417" s="201"/>
      <c r="J417" s="201"/>
      <c r="K417" s="186"/>
    </row>
    <row r="418" spans="6:11" s="213" customFormat="1" ht="50.1" customHeight="1" x14ac:dyDescent="0.25">
      <c r="F418" s="285"/>
      <c r="H418" s="285"/>
      <c r="I418" s="201"/>
      <c r="J418" s="201"/>
      <c r="K418" s="186"/>
    </row>
    <row r="419" spans="6:11" s="213" customFormat="1" ht="50.1" customHeight="1" x14ac:dyDescent="0.25">
      <c r="F419" s="285"/>
      <c r="H419" s="285"/>
      <c r="I419" s="201"/>
      <c r="J419" s="201"/>
      <c r="K419" s="186"/>
    </row>
    <row r="420" spans="6:11" s="213" customFormat="1" ht="50.1" customHeight="1" x14ac:dyDescent="0.25">
      <c r="F420" s="285"/>
      <c r="H420" s="285"/>
      <c r="I420" s="201"/>
      <c r="J420" s="201"/>
      <c r="K420" s="186"/>
    </row>
    <row r="421" spans="6:11" s="213" customFormat="1" ht="50.1" customHeight="1" x14ac:dyDescent="0.25">
      <c r="F421" s="285"/>
      <c r="H421" s="285"/>
      <c r="I421" s="201"/>
      <c r="J421" s="201"/>
      <c r="K421" s="186"/>
    </row>
    <row r="422" spans="6:11" s="213" customFormat="1" ht="50.1" customHeight="1" x14ac:dyDescent="0.25">
      <c r="F422" s="285"/>
      <c r="H422" s="285"/>
      <c r="I422" s="201"/>
      <c r="J422" s="201"/>
      <c r="K422" s="186"/>
    </row>
    <row r="423" spans="6:11" s="213" customFormat="1" ht="50.1" customHeight="1" x14ac:dyDescent="0.25">
      <c r="F423" s="285"/>
      <c r="H423" s="285"/>
      <c r="I423" s="201"/>
      <c r="J423" s="201"/>
      <c r="K423" s="186"/>
    </row>
    <row r="424" spans="6:11" s="213" customFormat="1" ht="50.1" customHeight="1" x14ac:dyDescent="0.25">
      <c r="F424" s="285"/>
      <c r="H424" s="285"/>
      <c r="I424" s="201"/>
      <c r="J424" s="201"/>
      <c r="K424" s="186"/>
    </row>
    <row r="425" spans="6:11" s="213" customFormat="1" ht="50.1" customHeight="1" x14ac:dyDescent="0.25">
      <c r="F425" s="285"/>
      <c r="H425" s="285"/>
      <c r="I425" s="201"/>
      <c r="J425" s="201"/>
      <c r="K425" s="186"/>
    </row>
    <row r="426" spans="6:11" s="213" customFormat="1" ht="50.1" customHeight="1" x14ac:dyDescent="0.25">
      <c r="F426" s="285"/>
      <c r="H426" s="285"/>
      <c r="I426" s="201"/>
      <c r="J426" s="201"/>
      <c r="K426" s="186"/>
    </row>
    <row r="427" spans="6:11" s="213" customFormat="1" ht="50.1" customHeight="1" x14ac:dyDescent="0.25">
      <c r="F427" s="285"/>
      <c r="H427" s="285"/>
      <c r="I427" s="201"/>
      <c r="J427" s="201"/>
      <c r="K427" s="186"/>
    </row>
    <row r="428" spans="6:11" s="213" customFormat="1" ht="50.1" customHeight="1" x14ac:dyDescent="0.25">
      <c r="F428" s="285"/>
      <c r="H428" s="285"/>
      <c r="I428" s="201"/>
      <c r="J428" s="201"/>
      <c r="K428" s="186"/>
    </row>
    <row r="429" spans="6:11" s="213" customFormat="1" ht="50.1" customHeight="1" x14ac:dyDescent="0.25">
      <c r="F429" s="285"/>
      <c r="H429" s="285"/>
      <c r="I429" s="201"/>
      <c r="J429" s="201"/>
      <c r="K429" s="186"/>
    </row>
    <row r="430" spans="6:11" s="213" customFormat="1" ht="50.1" customHeight="1" x14ac:dyDescent="0.25">
      <c r="F430" s="285"/>
      <c r="H430" s="285"/>
      <c r="I430" s="201"/>
      <c r="J430" s="201"/>
      <c r="K430" s="186"/>
    </row>
    <row r="431" spans="6:11" s="213" customFormat="1" ht="50.1" customHeight="1" x14ac:dyDescent="0.25">
      <c r="F431" s="285"/>
      <c r="H431" s="285"/>
      <c r="I431" s="201"/>
      <c r="J431" s="201"/>
      <c r="K431" s="186"/>
    </row>
    <row r="432" spans="6:11" s="213" customFormat="1" ht="50.1" customHeight="1" x14ac:dyDescent="0.25">
      <c r="F432" s="285"/>
      <c r="H432" s="285"/>
      <c r="I432" s="201"/>
      <c r="J432" s="201"/>
      <c r="K432" s="186"/>
    </row>
    <row r="433" spans="6:11" s="213" customFormat="1" ht="50.1" customHeight="1" x14ac:dyDescent="0.25">
      <c r="F433" s="285"/>
      <c r="H433" s="285"/>
      <c r="I433" s="201"/>
      <c r="J433" s="201"/>
      <c r="K433" s="186"/>
    </row>
    <row r="434" spans="6:11" s="213" customFormat="1" ht="50.1" customHeight="1" x14ac:dyDescent="0.25">
      <c r="F434" s="285"/>
      <c r="H434" s="285"/>
      <c r="I434" s="201"/>
      <c r="J434" s="201"/>
      <c r="K434" s="186"/>
    </row>
    <row r="435" spans="6:11" s="213" customFormat="1" ht="50.1" customHeight="1" x14ac:dyDescent="0.25">
      <c r="F435" s="285"/>
      <c r="H435" s="285"/>
      <c r="I435" s="201"/>
      <c r="J435" s="201"/>
      <c r="K435" s="186"/>
    </row>
    <row r="436" spans="6:11" s="213" customFormat="1" ht="50.1" customHeight="1" x14ac:dyDescent="0.25">
      <c r="F436" s="285"/>
      <c r="H436" s="285"/>
      <c r="I436" s="201"/>
      <c r="J436" s="201"/>
      <c r="K436" s="186"/>
    </row>
    <row r="437" spans="6:11" s="213" customFormat="1" ht="50.1" customHeight="1" x14ac:dyDescent="0.25">
      <c r="F437" s="285"/>
      <c r="H437" s="285"/>
      <c r="I437" s="201"/>
      <c r="J437" s="201"/>
      <c r="K437" s="186"/>
    </row>
    <row r="438" spans="6:11" s="213" customFormat="1" ht="50.1" customHeight="1" x14ac:dyDescent="0.25">
      <c r="F438" s="285"/>
      <c r="H438" s="285"/>
      <c r="I438" s="201"/>
      <c r="J438" s="201"/>
      <c r="K438" s="186"/>
    </row>
    <row r="439" spans="6:11" s="213" customFormat="1" ht="50.1" customHeight="1" x14ac:dyDescent="0.25">
      <c r="F439" s="285"/>
      <c r="H439" s="285"/>
      <c r="I439" s="201"/>
      <c r="J439" s="201"/>
      <c r="K439" s="186"/>
    </row>
    <row r="440" spans="6:11" s="213" customFormat="1" ht="50.1" customHeight="1" x14ac:dyDescent="0.25">
      <c r="F440" s="285"/>
      <c r="H440" s="285"/>
      <c r="I440" s="201"/>
      <c r="J440" s="201"/>
      <c r="K440" s="186"/>
    </row>
    <row r="441" spans="6:11" s="213" customFormat="1" ht="50.1" customHeight="1" x14ac:dyDescent="0.25">
      <c r="F441" s="285"/>
      <c r="H441" s="285"/>
      <c r="I441" s="201"/>
      <c r="J441" s="201"/>
      <c r="K441" s="186"/>
    </row>
    <row r="442" spans="6:11" s="213" customFormat="1" ht="50.1" customHeight="1" x14ac:dyDescent="0.25">
      <c r="F442" s="285"/>
      <c r="H442" s="285"/>
      <c r="I442" s="201"/>
      <c r="J442" s="201"/>
      <c r="K442" s="186"/>
    </row>
    <row r="443" spans="6:11" s="213" customFormat="1" ht="57" customHeight="1" x14ac:dyDescent="0.25">
      <c r="F443" s="285"/>
      <c r="H443" s="285"/>
      <c r="I443" s="201"/>
      <c r="J443" s="201"/>
      <c r="K443" s="186"/>
    </row>
    <row r="444" spans="6:11" s="213" customFormat="1" ht="106.5" customHeight="1" x14ac:dyDescent="0.25">
      <c r="F444" s="285"/>
      <c r="H444" s="285"/>
      <c r="I444" s="201"/>
      <c r="J444" s="201"/>
      <c r="K444" s="186"/>
    </row>
    <row r="445" spans="6:11" s="213" customFormat="1" ht="111.75" customHeight="1" x14ac:dyDescent="0.25">
      <c r="F445" s="285"/>
      <c r="H445" s="285"/>
      <c r="I445" s="201"/>
      <c r="J445" s="201"/>
      <c r="K445" s="186"/>
    </row>
    <row r="446" spans="6:11" s="213" customFormat="1" ht="77.25" customHeight="1" x14ac:dyDescent="0.25">
      <c r="F446" s="285"/>
      <c r="H446" s="285"/>
      <c r="I446" s="201"/>
      <c r="J446" s="201"/>
      <c r="K446" s="186"/>
    </row>
    <row r="447" spans="6:11" s="213" customFormat="1" ht="77.25" customHeight="1" x14ac:dyDescent="0.25">
      <c r="F447" s="285"/>
      <c r="H447" s="285"/>
      <c r="I447" s="201"/>
      <c r="J447" s="201"/>
      <c r="K447" s="186"/>
    </row>
    <row r="448" spans="6:11" s="213" customFormat="1" ht="50.1" customHeight="1" x14ac:dyDescent="0.25">
      <c r="F448" s="285"/>
      <c r="H448" s="285"/>
      <c r="I448" s="201"/>
      <c r="J448" s="201"/>
      <c r="K448" s="186"/>
    </row>
    <row r="449" spans="6:11" s="213" customFormat="1" ht="50.1" customHeight="1" x14ac:dyDescent="0.25">
      <c r="F449" s="285"/>
      <c r="H449" s="285"/>
      <c r="I449" s="201"/>
      <c r="J449" s="201"/>
      <c r="K449" s="186"/>
    </row>
    <row r="450" spans="6:11" s="213" customFormat="1" ht="50.1" customHeight="1" x14ac:dyDescent="0.25">
      <c r="F450" s="285"/>
      <c r="H450" s="285"/>
      <c r="I450" s="201"/>
      <c r="J450" s="201"/>
      <c r="K450" s="186"/>
    </row>
    <row r="451" spans="6:11" s="213" customFormat="1" ht="50.1" customHeight="1" x14ac:dyDescent="0.25">
      <c r="F451" s="285"/>
      <c r="H451" s="285"/>
      <c r="I451" s="201"/>
      <c r="J451" s="201"/>
      <c r="K451" s="186"/>
    </row>
    <row r="452" spans="6:11" s="213" customFormat="1" ht="50.1" customHeight="1" x14ac:dyDescent="0.25">
      <c r="F452" s="285"/>
      <c r="H452" s="285"/>
      <c r="I452" s="201"/>
      <c r="J452" s="201"/>
      <c r="K452" s="186"/>
    </row>
    <row r="453" spans="6:11" s="213" customFormat="1" ht="50.1" customHeight="1" x14ac:dyDescent="0.25">
      <c r="F453" s="285"/>
      <c r="H453" s="285"/>
      <c r="I453" s="201"/>
      <c r="J453" s="201"/>
      <c r="K453" s="186"/>
    </row>
    <row r="454" spans="6:11" s="213" customFormat="1" ht="50.1" customHeight="1" x14ac:dyDescent="0.25">
      <c r="F454" s="285"/>
      <c r="H454" s="285"/>
      <c r="I454" s="201"/>
      <c r="J454" s="201"/>
      <c r="K454" s="186"/>
    </row>
    <row r="455" spans="6:11" s="213" customFormat="1" ht="50.1" customHeight="1" x14ac:dyDescent="0.25">
      <c r="F455" s="285"/>
      <c r="H455" s="285"/>
      <c r="I455" s="201"/>
      <c r="J455" s="201"/>
      <c r="K455" s="186"/>
    </row>
    <row r="456" spans="6:11" s="213" customFormat="1" ht="50.1" customHeight="1" x14ac:dyDescent="0.25">
      <c r="F456" s="285"/>
      <c r="H456" s="285"/>
      <c r="I456" s="201"/>
      <c r="J456" s="201"/>
      <c r="K456" s="186"/>
    </row>
    <row r="457" spans="6:11" s="213" customFormat="1" ht="50.1" customHeight="1" x14ac:dyDescent="0.25">
      <c r="F457" s="285"/>
      <c r="H457" s="285"/>
      <c r="I457" s="201"/>
      <c r="J457" s="201"/>
      <c r="K457" s="186"/>
    </row>
    <row r="458" spans="6:11" s="213" customFormat="1" ht="50.1" customHeight="1" x14ac:dyDescent="0.25">
      <c r="F458" s="285"/>
      <c r="H458" s="285"/>
      <c r="I458" s="201"/>
      <c r="J458" s="201"/>
      <c r="K458" s="186"/>
    </row>
    <row r="459" spans="6:11" s="213" customFormat="1" ht="50.1" customHeight="1" x14ac:dyDescent="0.25">
      <c r="F459" s="285"/>
      <c r="H459" s="285"/>
      <c r="I459" s="201"/>
      <c r="J459" s="201"/>
      <c r="K459" s="186"/>
    </row>
    <row r="460" spans="6:11" s="213" customFormat="1" ht="50.1" customHeight="1" x14ac:dyDescent="0.25">
      <c r="F460" s="285"/>
      <c r="H460" s="285"/>
      <c r="I460" s="201"/>
      <c r="J460" s="201"/>
      <c r="K460" s="186"/>
    </row>
    <row r="461" spans="6:11" s="213" customFormat="1" ht="50.1" customHeight="1" x14ac:dyDescent="0.25">
      <c r="F461" s="285"/>
      <c r="H461" s="285"/>
      <c r="I461" s="201"/>
      <c r="J461" s="201"/>
      <c r="K461" s="186"/>
    </row>
    <row r="462" spans="6:11" s="213" customFormat="1" ht="50.1" customHeight="1" x14ac:dyDescent="0.25">
      <c r="F462" s="285"/>
      <c r="H462" s="285"/>
      <c r="I462" s="201"/>
      <c r="J462" s="201"/>
      <c r="K462" s="186"/>
    </row>
    <row r="463" spans="6:11" s="213" customFormat="1" ht="50.1" customHeight="1" x14ac:dyDescent="0.25">
      <c r="F463" s="285"/>
      <c r="H463" s="285"/>
      <c r="I463" s="201"/>
      <c r="J463" s="201"/>
      <c r="K463" s="186"/>
    </row>
    <row r="464" spans="6:11" s="213" customFormat="1" ht="50.1" customHeight="1" x14ac:dyDescent="0.25">
      <c r="F464" s="285"/>
      <c r="H464" s="285"/>
      <c r="I464" s="201"/>
      <c r="J464" s="201"/>
      <c r="K464" s="186"/>
    </row>
    <row r="465" spans="6:11" s="213" customFormat="1" ht="50.1" customHeight="1" x14ac:dyDescent="0.25">
      <c r="F465" s="285"/>
      <c r="H465" s="285"/>
      <c r="I465" s="201"/>
      <c r="J465" s="201"/>
      <c r="K465" s="186"/>
    </row>
    <row r="466" spans="6:11" s="213" customFormat="1" ht="98.25" customHeight="1" x14ac:dyDescent="0.25">
      <c r="F466" s="285"/>
      <c r="H466" s="285"/>
      <c r="I466" s="201"/>
      <c r="J466" s="201"/>
      <c r="K466" s="186"/>
    </row>
    <row r="467" spans="6:11" s="213" customFormat="1" ht="98.25" customHeight="1" x14ac:dyDescent="0.25">
      <c r="F467" s="285"/>
      <c r="H467" s="285"/>
      <c r="I467" s="201"/>
      <c r="J467" s="201"/>
      <c r="K467" s="186"/>
    </row>
    <row r="468" spans="6:11" s="213" customFormat="1" ht="69" customHeight="1" x14ac:dyDescent="0.25">
      <c r="F468" s="285"/>
      <c r="H468" s="285"/>
      <c r="I468" s="201"/>
      <c r="J468" s="201"/>
      <c r="K468" s="186"/>
    </row>
  </sheetData>
  <autoFilter ref="B19:N221"/>
  <mergeCells count="11">
    <mergeCell ref="C220:D220"/>
    <mergeCell ref="C221:D221"/>
    <mergeCell ref="C222:D222"/>
    <mergeCell ref="B1:N1"/>
    <mergeCell ref="B3:C3"/>
    <mergeCell ref="F4:I8"/>
    <mergeCell ref="F11:I16"/>
    <mergeCell ref="I217:J217"/>
    <mergeCell ref="C219:D219"/>
    <mergeCell ref="J219:M219"/>
    <mergeCell ref="B18:C18"/>
  </mergeCells>
  <hyperlinks>
    <hyperlink ref="C7" r:id="rId1"/>
  </hyperlinks>
  <pageMargins left="0.7" right="0.7" top="0.75" bottom="0.75" header="0.3" footer="0.3"/>
  <pageSetup orientation="portrait" verticalDpi="599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55"/>
  <sheetViews>
    <sheetView workbookViewId="0">
      <pane ySplit="8" topLeftCell="A27" activePane="bottomLeft" state="frozen"/>
      <selection pane="bottomLeft" activeCell="C34" sqref="C34"/>
    </sheetView>
  </sheetViews>
  <sheetFormatPr baseColWidth="10" defaultRowHeight="15" x14ac:dyDescent="0.25"/>
  <cols>
    <col min="1" max="1" width="10.7109375" customWidth="1"/>
    <col min="2" max="2" width="41.42578125" customWidth="1"/>
    <col min="3" max="3" width="13.42578125" bestFit="1" customWidth="1"/>
    <col min="4" max="4" width="13.7109375" bestFit="1" customWidth="1"/>
    <col min="5" max="5" width="15.5703125" bestFit="1" customWidth="1"/>
    <col min="6" max="6" width="15.5703125" style="180" customWidth="1"/>
    <col min="7" max="7" width="29.140625" customWidth="1"/>
    <col min="8" max="8" width="16.7109375" customWidth="1"/>
    <col min="9" max="9" width="19.28515625" customWidth="1"/>
    <col min="10" max="10" width="23.28515625" customWidth="1"/>
    <col min="11" max="11" width="13.42578125" bestFit="1" customWidth="1"/>
    <col min="17" max="17" width="11.5703125" bestFit="1" customWidth="1"/>
    <col min="257" max="257" width="10.7109375" customWidth="1"/>
    <col min="258" max="258" width="41.42578125" customWidth="1"/>
    <col min="259" max="259" width="13.42578125" bestFit="1" customWidth="1"/>
    <col min="260" max="260" width="13.7109375" bestFit="1" customWidth="1"/>
    <col min="261" max="261" width="15.5703125" bestFit="1" customWidth="1"/>
    <col min="262" max="262" width="15.5703125" customWidth="1"/>
    <col min="263" max="263" width="29.140625" customWidth="1"/>
    <col min="264" max="264" width="16.7109375" customWidth="1"/>
    <col min="265" max="265" width="19.28515625" customWidth="1"/>
    <col min="266" max="266" width="23.28515625" customWidth="1"/>
    <col min="267" max="267" width="13.42578125" bestFit="1" customWidth="1"/>
    <col min="273" max="273" width="11.5703125" bestFit="1" customWidth="1"/>
    <col min="513" max="513" width="10.7109375" customWidth="1"/>
    <col min="514" max="514" width="41.42578125" customWidth="1"/>
    <col min="515" max="515" width="13.42578125" bestFit="1" customWidth="1"/>
    <col min="516" max="516" width="13.7109375" bestFit="1" customWidth="1"/>
    <col min="517" max="517" width="15.5703125" bestFit="1" customWidth="1"/>
    <col min="518" max="518" width="15.5703125" customWidth="1"/>
    <col min="519" max="519" width="29.140625" customWidth="1"/>
    <col min="520" max="520" width="16.7109375" customWidth="1"/>
    <col min="521" max="521" width="19.28515625" customWidth="1"/>
    <col min="522" max="522" width="23.28515625" customWidth="1"/>
    <col min="523" max="523" width="13.42578125" bestFit="1" customWidth="1"/>
    <col min="529" max="529" width="11.5703125" bestFit="1" customWidth="1"/>
    <col min="769" max="769" width="10.7109375" customWidth="1"/>
    <col min="770" max="770" width="41.42578125" customWidth="1"/>
    <col min="771" max="771" width="13.42578125" bestFit="1" customWidth="1"/>
    <col min="772" max="772" width="13.7109375" bestFit="1" customWidth="1"/>
    <col min="773" max="773" width="15.5703125" bestFit="1" customWidth="1"/>
    <col min="774" max="774" width="15.5703125" customWidth="1"/>
    <col min="775" max="775" width="29.140625" customWidth="1"/>
    <col min="776" max="776" width="16.7109375" customWidth="1"/>
    <col min="777" max="777" width="19.28515625" customWidth="1"/>
    <col min="778" max="778" width="23.28515625" customWidth="1"/>
    <col min="779" max="779" width="13.42578125" bestFit="1" customWidth="1"/>
    <col min="785" max="785" width="11.5703125" bestFit="1" customWidth="1"/>
    <col min="1025" max="1025" width="10.7109375" customWidth="1"/>
    <col min="1026" max="1026" width="41.42578125" customWidth="1"/>
    <col min="1027" max="1027" width="13.42578125" bestFit="1" customWidth="1"/>
    <col min="1028" max="1028" width="13.7109375" bestFit="1" customWidth="1"/>
    <col min="1029" max="1029" width="15.5703125" bestFit="1" customWidth="1"/>
    <col min="1030" max="1030" width="15.5703125" customWidth="1"/>
    <col min="1031" max="1031" width="29.140625" customWidth="1"/>
    <col min="1032" max="1032" width="16.7109375" customWidth="1"/>
    <col min="1033" max="1033" width="19.28515625" customWidth="1"/>
    <col min="1034" max="1034" width="23.28515625" customWidth="1"/>
    <col min="1035" max="1035" width="13.42578125" bestFit="1" customWidth="1"/>
    <col min="1041" max="1041" width="11.5703125" bestFit="1" customWidth="1"/>
    <col min="1281" max="1281" width="10.7109375" customWidth="1"/>
    <col min="1282" max="1282" width="41.42578125" customWidth="1"/>
    <col min="1283" max="1283" width="13.42578125" bestFit="1" customWidth="1"/>
    <col min="1284" max="1284" width="13.7109375" bestFit="1" customWidth="1"/>
    <col min="1285" max="1285" width="15.5703125" bestFit="1" customWidth="1"/>
    <col min="1286" max="1286" width="15.5703125" customWidth="1"/>
    <col min="1287" max="1287" width="29.140625" customWidth="1"/>
    <col min="1288" max="1288" width="16.7109375" customWidth="1"/>
    <col min="1289" max="1289" width="19.28515625" customWidth="1"/>
    <col min="1290" max="1290" width="23.28515625" customWidth="1"/>
    <col min="1291" max="1291" width="13.42578125" bestFit="1" customWidth="1"/>
    <col min="1297" max="1297" width="11.5703125" bestFit="1" customWidth="1"/>
    <col min="1537" max="1537" width="10.7109375" customWidth="1"/>
    <col min="1538" max="1538" width="41.42578125" customWidth="1"/>
    <col min="1539" max="1539" width="13.42578125" bestFit="1" customWidth="1"/>
    <col min="1540" max="1540" width="13.7109375" bestFit="1" customWidth="1"/>
    <col min="1541" max="1541" width="15.5703125" bestFit="1" customWidth="1"/>
    <col min="1542" max="1542" width="15.5703125" customWidth="1"/>
    <col min="1543" max="1543" width="29.140625" customWidth="1"/>
    <col min="1544" max="1544" width="16.7109375" customWidth="1"/>
    <col min="1545" max="1545" width="19.28515625" customWidth="1"/>
    <col min="1546" max="1546" width="23.28515625" customWidth="1"/>
    <col min="1547" max="1547" width="13.42578125" bestFit="1" customWidth="1"/>
    <col min="1553" max="1553" width="11.5703125" bestFit="1" customWidth="1"/>
    <col min="1793" max="1793" width="10.7109375" customWidth="1"/>
    <col min="1794" max="1794" width="41.42578125" customWidth="1"/>
    <col min="1795" max="1795" width="13.42578125" bestFit="1" customWidth="1"/>
    <col min="1796" max="1796" width="13.7109375" bestFit="1" customWidth="1"/>
    <col min="1797" max="1797" width="15.5703125" bestFit="1" customWidth="1"/>
    <col min="1798" max="1798" width="15.5703125" customWidth="1"/>
    <col min="1799" max="1799" width="29.140625" customWidth="1"/>
    <col min="1800" max="1800" width="16.7109375" customWidth="1"/>
    <col min="1801" max="1801" width="19.28515625" customWidth="1"/>
    <col min="1802" max="1802" width="23.28515625" customWidth="1"/>
    <col min="1803" max="1803" width="13.42578125" bestFit="1" customWidth="1"/>
    <col min="1809" max="1809" width="11.5703125" bestFit="1" customWidth="1"/>
    <col min="2049" max="2049" width="10.7109375" customWidth="1"/>
    <col min="2050" max="2050" width="41.42578125" customWidth="1"/>
    <col min="2051" max="2051" width="13.42578125" bestFit="1" customWidth="1"/>
    <col min="2052" max="2052" width="13.7109375" bestFit="1" customWidth="1"/>
    <col min="2053" max="2053" width="15.5703125" bestFit="1" customWidth="1"/>
    <col min="2054" max="2054" width="15.5703125" customWidth="1"/>
    <col min="2055" max="2055" width="29.140625" customWidth="1"/>
    <col min="2056" max="2056" width="16.7109375" customWidth="1"/>
    <col min="2057" max="2057" width="19.28515625" customWidth="1"/>
    <col min="2058" max="2058" width="23.28515625" customWidth="1"/>
    <col min="2059" max="2059" width="13.42578125" bestFit="1" customWidth="1"/>
    <col min="2065" max="2065" width="11.5703125" bestFit="1" customWidth="1"/>
    <col min="2305" max="2305" width="10.7109375" customWidth="1"/>
    <col min="2306" max="2306" width="41.42578125" customWidth="1"/>
    <col min="2307" max="2307" width="13.42578125" bestFit="1" customWidth="1"/>
    <col min="2308" max="2308" width="13.7109375" bestFit="1" customWidth="1"/>
    <col min="2309" max="2309" width="15.5703125" bestFit="1" customWidth="1"/>
    <col min="2310" max="2310" width="15.5703125" customWidth="1"/>
    <col min="2311" max="2311" width="29.140625" customWidth="1"/>
    <col min="2312" max="2312" width="16.7109375" customWidth="1"/>
    <col min="2313" max="2313" width="19.28515625" customWidth="1"/>
    <col min="2314" max="2314" width="23.28515625" customWidth="1"/>
    <col min="2315" max="2315" width="13.42578125" bestFit="1" customWidth="1"/>
    <col min="2321" max="2321" width="11.5703125" bestFit="1" customWidth="1"/>
    <col min="2561" max="2561" width="10.7109375" customWidth="1"/>
    <col min="2562" max="2562" width="41.42578125" customWidth="1"/>
    <col min="2563" max="2563" width="13.42578125" bestFit="1" customWidth="1"/>
    <col min="2564" max="2564" width="13.7109375" bestFit="1" customWidth="1"/>
    <col min="2565" max="2565" width="15.5703125" bestFit="1" customWidth="1"/>
    <col min="2566" max="2566" width="15.5703125" customWidth="1"/>
    <col min="2567" max="2567" width="29.140625" customWidth="1"/>
    <col min="2568" max="2568" width="16.7109375" customWidth="1"/>
    <col min="2569" max="2569" width="19.28515625" customWidth="1"/>
    <col min="2570" max="2570" width="23.28515625" customWidth="1"/>
    <col min="2571" max="2571" width="13.42578125" bestFit="1" customWidth="1"/>
    <col min="2577" max="2577" width="11.5703125" bestFit="1" customWidth="1"/>
    <col min="2817" max="2817" width="10.7109375" customWidth="1"/>
    <col min="2818" max="2818" width="41.42578125" customWidth="1"/>
    <col min="2819" max="2819" width="13.42578125" bestFit="1" customWidth="1"/>
    <col min="2820" max="2820" width="13.7109375" bestFit="1" customWidth="1"/>
    <col min="2821" max="2821" width="15.5703125" bestFit="1" customWidth="1"/>
    <col min="2822" max="2822" width="15.5703125" customWidth="1"/>
    <col min="2823" max="2823" width="29.140625" customWidth="1"/>
    <col min="2824" max="2824" width="16.7109375" customWidth="1"/>
    <col min="2825" max="2825" width="19.28515625" customWidth="1"/>
    <col min="2826" max="2826" width="23.28515625" customWidth="1"/>
    <col min="2827" max="2827" width="13.42578125" bestFit="1" customWidth="1"/>
    <col min="2833" max="2833" width="11.5703125" bestFit="1" customWidth="1"/>
    <col min="3073" max="3073" width="10.7109375" customWidth="1"/>
    <col min="3074" max="3074" width="41.42578125" customWidth="1"/>
    <col min="3075" max="3075" width="13.42578125" bestFit="1" customWidth="1"/>
    <col min="3076" max="3076" width="13.7109375" bestFit="1" customWidth="1"/>
    <col min="3077" max="3077" width="15.5703125" bestFit="1" customWidth="1"/>
    <col min="3078" max="3078" width="15.5703125" customWidth="1"/>
    <col min="3079" max="3079" width="29.140625" customWidth="1"/>
    <col min="3080" max="3080" width="16.7109375" customWidth="1"/>
    <col min="3081" max="3081" width="19.28515625" customWidth="1"/>
    <col min="3082" max="3082" width="23.28515625" customWidth="1"/>
    <col min="3083" max="3083" width="13.42578125" bestFit="1" customWidth="1"/>
    <col min="3089" max="3089" width="11.5703125" bestFit="1" customWidth="1"/>
    <col min="3329" max="3329" width="10.7109375" customWidth="1"/>
    <col min="3330" max="3330" width="41.42578125" customWidth="1"/>
    <col min="3331" max="3331" width="13.42578125" bestFit="1" customWidth="1"/>
    <col min="3332" max="3332" width="13.7109375" bestFit="1" customWidth="1"/>
    <col min="3333" max="3333" width="15.5703125" bestFit="1" customWidth="1"/>
    <col min="3334" max="3334" width="15.5703125" customWidth="1"/>
    <col min="3335" max="3335" width="29.140625" customWidth="1"/>
    <col min="3336" max="3336" width="16.7109375" customWidth="1"/>
    <col min="3337" max="3337" width="19.28515625" customWidth="1"/>
    <col min="3338" max="3338" width="23.28515625" customWidth="1"/>
    <col min="3339" max="3339" width="13.42578125" bestFit="1" customWidth="1"/>
    <col min="3345" max="3345" width="11.5703125" bestFit="1" customWidth="1"/>
    <col min="3585" max="3585" width="10.7109375" customWidth="1"/>
    <col min="3586" max="3586" width="41.42578125" customWidth="1"/>
    <col min="3587" max="3587" width="13.42578125" bestFit="1" customWidth="1"/>
    <col min="3588" max="3588" width="13.7109375" bestFit="1" customWidth="1"/>
    <col min="3589" max="3589" width="15.5703125" bestFit="1" customWidth="1"/>
    <col min="3590" max="3590" width="15.5703125" customWidth="1"/>
    <col min="3591" max="3591" width="29.140625" customWidth="1"/>
    <col min="3592" max="3592" width="16.7109375" customWidth="1"/>
    <col min="3593" max="3593" width="19.28515625" customWidth="1"/>
    <col min="3594" max="3594" width="23.28515625" customWidth="1"/>
    <col min="3595" max="3595" width="13.42578125" bestFit="1" customWidth="1"/>
    <col min="3601" max="3601" width="11.5703125" bestFit="1" customWidth="1"/>
    <col min="3841" max="3841" width="10.7109375" customWidth="1"/>
    <col min="3842" max="3842" width="41.42578125" customWidth="1"/>
    <col min="3843" max="3843" width="13.42578125" bestFit="1" customWidth="1"/>
    <col min="3844" max="3844" width="13.7109375" bestFit="1" customWidth="1"/>
    <col min="3845" max="3845" width="15.5703125" bestFit="1" customWidth="1"/>
    <col min="3846" max="3846" width="15.5703125" customWidth="1"/>
    <col min="3847" max="3847" width="29.140625" customWidth="1"/>
    <col min="3848" max="3848" width="16.7109375" customWidth="1"/>
    <col min="3849" max="3849" width="19.28515625" customWidth="1"/>
    <col min="3850" max="3850" width="23.28515625" customWidth="1"/>
    <col min="3851" max="3851" width="13.42578125" bestFit="1" customWidth="1"/>
    <col min="3857" max="3857" width="11.5703125" bestFit="1" customWidth="1"/>
    <col min="4097" max="4097" width="10.7109375" customWidth="1"/>
    <col min="4098" max="4098" width="41.42578125" customWidth="1"/>
    <col min="4099" max="4099" width="13.42578125" bestFit="1" customWidth="1"/>
    <col min="4100" max="4100" width="13.7109375" bestFit="1" customWidth="1"/>
    <col min="4101" max="4101" width="15.5703125" bestFit="1" customWidth="1"/>
    <col min="4102" max="4102" width="15.5703125" customWidth="1"/>
    <col min="4103" max="4103" width="29.140625" customWidth="1"/>
    <col min="4104" max="4104" width="16.7109375" customWidth="1"/>
    <col min="4105" max="4105" width="19.28515625" customWidth="1"/>
    <col min="4106" max="4106" width="23.28515625" customWidth="1"/>
    <col min="4107" max="4107" width="13.42578125" bestFit="1" customWidth="1"/>
    <col min="4113" max="4113" width="11.5703125" bestFit="1" customWidth="1"/>
    <col min="4353" max="4353" width="10.7109375" customWidth="1"/>
    <col min="4354" max="4354" width="41.42578125" customWidth="1"/>
    <col min="4355" max="4355" width="13.42578125" bestFit="1" customWidth="1"/>
    <col min="4356" max="4356" width="13.7109375" bestFit="1" customWidth="1"/>
    <col min="4357" max="4357" width="15.5703125" bestFit="1" customWidth="1"/>
    <col min="4358" max="4358" width="15.5703125" customWidth="1"/>
    <col min="4359" max="4359" width="29.140625" customWidth="1"/>
    <col min="4360" max="4360" width="16.7109375" customWidth="1"/>
    <col min="4361" max="4361" width="19.28515625" customWidth="1"/>
    <col min="4362" max="4362" width="23.28515625" customWidth="1"/>
    <col min="4363" max="4363" width="13.42578125" bestFit="1" customWidth="1"/>
    <col min="4369" max="4369" width="11.5703125" bestFit="1" customWidth="1"/>
    <col min="4609" max="4609" width="10.7109375" customWidth="1"/>
    <col min="4610" max="4610" width="41.42578125" customWidth="1"/>
    <col min="4611" max="4611" width="13.42578125" bestFit="1" customWidth="1"/>
    <col min="4612" max="4612" width="13.7109375" bestFit="1" customWidth="1"/>
    <col min="4613" max="4613" width="15.5703125" bestFit="1" customWidth="1"/>
    <col min="4614" max="4614" width="15.5703125" customWidth="1"/>
    <col min="4615" max="4615" width="29.140625" customWidth="1"/>
    <col min="4616" max="4616" width="16.7109375" customWidth="1"/>
    <col min="4617" max="4617" width="19.28515625" customWidth="1"/>
    <col min="4618" max="4618" width="23.28515625" customWidth="1"/>
    <col min="4619" max="4619" width="13.42578125" bestFit="1" customWidth="1"/>
    <col min="4625" max="4625" width="11.5703125" bestFit="1" customWidth="1"/>
    <col min="4865" max="4865" width="10.7109375" customWidth="1"/>
    <col min="4866" max="4866" width="41.42578125" customWidth="1"/>
    <col min="4867" max="4867" width="13.42578125" bestFit="1" customWidth="1"/>
    <col min="4868" max="4868" width="13.7109375" bestFit="1" customWidth="1"/>
    <col min="4869" max="4869" width="15.5703125" bestFit="1" customWidth="1"/>
    <col min="4870" max="4870" width="15.5703125" customWidth="1"/>
    <col min="4871" max="4871" width="29.140625" customWidth="1"/>
    <col min="4872" max="4872" width="16.7109375" customWidth="1"/>
    <col min="4873" max="4873" width="19.28515625" customWidth="1"/>
    <col min="4874" max="4874" width="23.28515625" customWidth="1"/>
    <col min="4875" max="4875" width="13.42578125" bestFit="1" customWidth="1"/>
    <col min="4881" max="4881" width="11.5703125" bestFit="1" customWidth="1"/>
    <col min="5121" max="5121" width="10.7109375" customWidth="1"/>
    <col min="5122" max="5122" width="41.42578125" customWidth="1"/>
    <col min="5123" max="5123" width="13.42578125" bestFit="1" customWidth="1"/>
    <col min="5124" max="5124" width="13.7109375" bestFit="1" customWidth="1"/>
    <col min="5125" max="5125" width="15.5703125" bestFit="1" customWidth="1"/>
    <col min="5126" max="5126" width="15.5703125" customWidth="1"/>
    <col min="5127" max="5127" width="29.140625" customWidth="1"/>
    <col min="5128" max="5128" width="16.7109375" customWidth="1"/>
    <col min="5129" max="5129" width="19.28515625" customWidth="1"/>
    <col min="5130" max="5130" width="23.28515625" customWidth="1"/>
    <col min="5131" max="5131" width="13.42578125" bestFit="1" customWidth="1"/>
    <col min="5137" max="5137" width="11.5703125" bestFit="1" customWidth="1"/>
    <col min="5377" max="5377" width="10.7109375" customWidth="1"/>
    <col min="5378" max="5378" width="41.42578125" customWidth="1"/>
    <col min="5379" max="5379" width="13.42578125" bestFit="1" customWidth="1"/>
    <col min="5380" max="5380" width="13.7109375" bestFit="1" customWidth="1"/>
    <col min="5381" max="5381" width="15.5703125" bestFit="1" customWidth="1"/>
    <col min="5382" max="5382" width="15.5703125" customWidth="1"/>
    <col min="5383" max="5383" width="29.140625" customWidth="1"/>
    <col min="5384" max="5384" width="16.7109375" customWidth="1"/>
    <col min="5385" max="5385" width="19.28515625" customWidth="1"/>
    <col min="5386" max="5386" width="23.28515625" customWidth="1"/>
    <col min="5387" max="5387" width="13.42578125" bestFit="1" customWidth="1"/>
    <col min="5393" max="5393" width="11.5703125" bestFit="1" customWidth="1"/>
    <col min="5633" max="5633" width="10.7109375" customWidth="1"/>
    <col min="5634" max="5634" width="41.42578125" customWidth="1"/>
    <col min="5635" max="5635" width="13.42578125" bestFit="1" customWidth="1"/>
    <col min="5636" max="5636" width="13.7109375" bestFit="1" customWidth="1"/>
    <col min="5637" max="5637" width="15.5703125" bestFit="1" customWidth="1"/>
    <col min="5638" max="5638" width="15.5703125" customWidth="1"/>
    <col min="5639" max="5639" width="29.140625" customWidth="1"/>
    <col min="5640" max="5640" width="16.7109375" customWidth="1"/>
    <col min="5641" max="5641" width="19.28515625" customWidth="1"/>
    <col min="5642" max="5642" width="23.28515625" customWidth="1"/>
    <col min="5643" max="5643" width="13.42578125" bestFit="1" customWidth="1"/>
    <col min="5649" max="5649" width="11.5703125" bestFit="1" customWidth="1"/>
    <col min="5889" max="5889" width="10.7109375" customWidth="1"/>
    <col min="5890" max="5890" width="41.42578125" customWidth="1"/>
    <col min="5891" max="5891" width="13.42578125" bestFit="1" customWidth="1"/>
    <col min="5892" max="5892" width="13.7109375" bestFit="1" customWidth="1"/>
    <col min="5893" max="5893" width="15.5703125" bestFit="1" customWidth="1"/>
    <col min="5894" max="5894" width="15.5703125" customWidth="1"/>
    <col min="5895" max="5895" width="29.140625" customWidth="1"/>
    <col min="5896" max="5896" width="16.7109375" customWidth="1"/>
    <col min="5897" max="5897" width="19.28515625" customWidth="1"/>
    <col min="5898" max="5898" width="23.28515625" customWidth="1"/>
    <col min="5899" max="5899" width="13.42578125" bestFit="1" customWidth="1"/>
    <col min="5905" max="5905" width="11.5703125" bestFit="1" customWidth="1"/>
    <col min="6145" max="6145" width="10.7109375" customWidth="1"/>
    <col min="6146" max="6146" width="41.42578125" customWidth="1"/>
    <col min="6147" max="6147" width="13.42578125" bestFit="1" customWidth="1"/>
    <col min="6148" max="6148" width="13.7109375" bestFit="1" customWidth="1"/>
    <col min="6149" max="6149" width="15.5703125" bestFit="1" customWidth="1"/>
    <col min="6150" max="6150" width="15.5703125" customWidth="1"/>
    <col min="6151" max="6151" width="29.140625" customWidth="1"/>
    <col min="6152" max="6152" width="16.7109375" customWidth="1"/>
    <col min="6153" max="6153" width="19.28515625" customWidth="1"/>
    <col min="6154" max="6154" width="23.28515625" customWidth="1"/>
    <col min="6155" max="6155" width="13.42578125" bestFit="1" customWidth="1"/>
    <col min="6161" max="6161" width="11.5703125" bestFit="1" customWidth="1"/>
    <col min="6401" max="6401" width="10.7109375" customWidth="1"/>
    <col min="6402" max="6402" width="41.42578125" customWidth="1"/>
    <col min="6403" max="6403" width="13.42578125" bestFit="1" customWidth="1"/>
    <col min="6404" max="6404" width="13.7109375" bestFit="1" customWidth="1"/>
    <col min="6405" max="6405" width="15.5703125" bestFit="1" customWidth="1"/>
    <col min="6406" max="6406" width="15.5703125" customWidth="1"/>
    <col min="6407" max="6407" width="29.140625" customWidth="1"/>
    <col min="6408" max="6408" width="16.7109375" customWidth="1"/>
    <col min="6409" max="6409" width="19.28515625" customWidth="1"/>
    <col min="6410" max="6410" width="23.28515625" customWidth="1"/>
    <col min="6411" max="6411" width="13.42578125" bestFit="1" customWidth="1"/>
    <col min="6417" max="6417" width="11.5703125" bestFit="1" customWidth="1"/>
    <col min="6657" max="6657" width="10.7109375" customWidth="1"/>
    <col min="6658" max="6658" width="41.42578125" customWidth="1"/>
    <col min="6659" max="6659" width="13.42578125" bestFit="1" customWidth="1"/>
    <col min="6660" max="6660" width="13.7109375" bestFit="1" customWidth="1"/>
    <col min="6661" max="6661" width="15.5703125" bestFit="1" customWidth="1"/>
    <col min="6662" max="6662" width="15.5703125" customWidth="1"/>
    <col min="6663" max="6663" width="29.140625" customWidth="1"/>
    <col min="6664" max="6664" width="16.7109375" customWidth="1"/>
    <col min="6665" max="6665" width="19.28515625" customWidth="1"/>
    <col min="6666" max="6666" width="23.28515625" customWidth="1"/>
    <col min="6667" max="6667" width="13.42578125" bestFit="1" customWidth="1"/>
    <col min="6673" max="6673" width="11.5703125" bestFit="1" customWidth="1"/>
    <col min="6913" max="6913" width="10.7109375" customWidth="1"/>
    <col min="6914" max="6914" width="41.42578125" customWidth="1"/>
    <col min="6915" max="6915" width="13.42578125" bestFit="1" customWidth="1"/>
    <col min="6916" max="6916" width="13.7109375" bestFit="1" customWidth="1"/>
    <col min="6917" max="6917" width="15.5703125" bestFit="1" customWidth="1"/>
    <col min="6918" max="6918" width="15.5703125" customWidth="1"/>
    <col min="6919" max="6919" width="29.140625" customWidth="1"/>
    <col min="6920" max="6920" width="16.7109375" customWidth="1"/>
    <col min="6921" max="6921" width="19.28515625" customWidth="1"/>
    <col min="6922" max="6922" width="23.28515625" customWidth="1"/>
    <col min="6923" max="6923" width="13.42578125" bestFit="1" customWidth="1"/>
    <col min="6929" max="6929" width="11.5703125" bestFit="1" customWidth="1"/>
    <col min="7169" max="7169" width="10.7109375" customWidth="1"/>
    <col min="7170" max="7170" width="41.42578125" customWidth="1"/>
    <col min="7171" max="7171" width="13.42578125" bestFit="1" customWidth="1"/>
    <col min="7172" max="7172" width="13.7109375" bestFit="1" customWidth="1"/>
    <col min="7173" max="7173" width="15.5703125" bestFit="1" customWidth="1"/>
    <col min="7174" max="7174" width="15.5703125" customWidth="1"/>
    <col min="7175" max="7175" width="29.140625" customWidth="1"/>
    <col min="7176" max="7176" width="16.7109375" customWidth="1"/>
    <col min="7177" max="7177" width="19.28515625" customWidth="1"/>
    <col min="7178" max="7178" width="23.28515625" customWidth="1"/>
    <col min="7179" max="7179" width="13.42578125" bestFit="1" customWidth="1"/>
    <col min="7185" max="7185" width="11.5703125" bestFit="1" customWidth="1"/>
    <col min="7425" max="7425" width="10.7109375" customWidth="1"/>
    <col min="7426" max="7426" width="41.42578125" customWidth="1"/>
    <col min="7427" max="7427" width="13.42578125" bestFit="1" customWidth="1"/>
    <col min="7428" max="7428" width="13.7109375" bestFit="1" customWidth="1"/>
    <col min="7429" max="7429" width="15.5703125" bestFit="1" customWidth="1"/>
    <col min="7430" max="7430" width="15.5703125" customWidth="1"/>
    <col min="7431" max="7431" width="29.140625" customWidth="1"/>
    <col min="7432" max="7432" width="16.7109375" customWidth="1"/>
    <col min="7433" max="7433" width="19.28515625" customWidth="1"/>
    <col min="7434" max="7434" width="23.28515625" customWidth="1"/>
    <col min="7435" max="7435" width="13.42578125" bestFit="1" customWidth="1"/>
    <col min="7441" max="7441" width="11.5703125" bestFit="1" customWidth="1"/>
    <col min="7681" max="7681" width="10.7109375" customWidth="1"/>
    <col min="7682" max="7682" width="41.42578125" customWidth="1"/>
    <col min="7683" max="7683" width="13.42578125" bestFit="1" customWidth="1"/>
    <col min="7684" max="7684" width="13.7109375" bestFit="1" customWidth="1"/>
    <col min="7685" max="7685" width="15.5703125" bestFit="1" customWidth="1"/>
    <col min="7686" max="7686" width="15.5703125" customWidth="1"/>
    <col min="7687" max="7687" width="29.140625" customWidth="1"/>
    <col min="7688" max="7688" width="16.7109375" customWidth="1"/>
    <col min="7689" max="7689" width="19.28515625" customWidth="1"/>
    <col min="7690" max="7690" width="23.28515625" customWidth="1"/>
    <col min="7691" max="7691" width="13.42578125" bestFit="1" customWidth="1"/>
    <col min="7697" max="7697" width="11.5703125" bestFit="1" customWidth="1"/>
    <col min="7937" max="7937" width="10.7109375" customWidth="1"/>
    <col min="7938" max="7938" width="41.42578125" customWidth="1"/>
    <col min="7939" max="7939" width="13.42578125" bestFit="1" customWidth="1"/>
    <col min="7940" max="7940" width="13.7109375" bestFit="1" customWidth="1"/>
    <col min="7941" max="7941" width="15.5703125" bestFit="1" customWidth="1"/>
    <col min="7942" max="7942" width="15.5703125" customWidth="1"/>
    <col min="7943" max="7943" width="29.140625" customWidth="1"/>
    <col min="7944" max="7944" width="16.7109375" customWidth="1"/>
    <col min="7945" max="7945" width="19.28515625" customWidth="1"/>
    <col min="7946" max="7946" width="23.28515625" customWidth="1"/>
    <col min="7947" max="7947" width="13.42578125" bestFit="1" customWidth="1"/>
    <col min="7953" max="7953" width="11.5703125" bestFit="1" customWidth="1"/>
    <col min="8193" max="8193" width="10.7109375" customWidth="1"/>
    <col min="8194" max="8194" width="41.42578125" customWidth="1"/>
    <col min="8195" max="8195" width="13.42578125" bestFit="1" customWidth="1"/>
    <col min="8196" max="8196" width="13.7109375" bestFit="1" customWidth="1"/>
    <col min="8197" max="8197" width="15.5703125" bestFit="1" customWidth="1"/>
    <col min="8198" max="8198" width="15.5703125" customWidth="1"/>
    <col min="8199" max="8199" width="29.140625" customWidth="1"/>
    <col min="8200" max="8200" width="16.7109375" customWidth="1"/>
    <col min="8201" max="8201" width="19.28515625" customWidth="1"/>
    <col min="8202" max="8202" width="23.28515625" customWidth="1"/>
    <col min="8203" max="8203" width="13.42578125" bestFit="1" customWidth="1"/>
    <col min="8209" max="8209" width="11.5703125" bestFit="1" customWidth="1"/>
    <col min="8449" max="8449" width="10.7109375" customWidth="1"/>
    <col min="8450" max="8450" width="41.42578125" customWidth="1"/>
    <col min="8451" max="8451" width="13.42578125" bestFit="1" customWidth="1"/>
    <col min="8452" max="8452" width="13.7109375" bestFit="1" customWidth="1"/>
    <col min="8453" max="8453" width="15.5703125" bestFit="1" customWidth="1"/>
    <col min="8454" max="8454" width="15.5703125" customWidth="1"/>
    <col min="8455" max="8455" width="29.140625" customWidth="1"/>
    <col min="8456" max="8456" width="16.7109375" customWidth="1"/>
    <col min="8457" max="8457" width="19.28515625" customWidth="1"/>
    <col min="8458" max="8458" width="23.28515625" customWidth="1"/>
    <col min="8459" max="8459" width="13.42578125" bestFit="1" customWidth="1"/>
    <col min="8465" max="8465" width="11.5703125" bestFit="1" customWidth="1"/>
    <col min="8705" max="8705" width="10.7109375" customWidth="1"/>
    <col min="8706" max="8706" width="41.42578125" customWidth="1"/>
    <col min="8707" max="8707" width="13.42578125" bestFit="1" customWidth="1"/>
    <col min="8708" max="8708" width="13.7109375" bestFit="1" customWidth="1"/>
    <col min="8709" max="8709" width="15.5703125" bestFit="1" customWidth="1"/>
    <col min="8710" max="8710" width="15.5703125" customWidth="1"/>
    <col min="8711" max="8711" width="29.140625" customWidth="1"/>
    <col min="8712" max="8712" width="16.7109375" customWidth="1"/>
    <col min="8713" max="8713" width="19.28515625" customWidth="1"/>
    <col min="8714" max="8714" width="23.28515625" customWidth="1"/>
    <col min="8715" max="8715" width="13.42578125" bestFit="1" customWidth="1"/>
    <col min="8721" max="8721" width="11.5703125" bestFit="1" customWidth="1"/>
    <col min="8961" max="8961" width="10.7109375" customWidth="1"/>
    <col min="8962" max="8962" width="41.42578125" customWidth="1"/>
    <col min="8963" max="8963" width="13.42578125" bestFit="1" customWidth="1"/>
    <col min="8964" max="8964" width="13.7109375" bestFit="1" customWidth="1"/>
    <col min="8965" max="8965" width="15.5703125" bestFit="1" customWidth="1"/>
    <col min="8966" max="8966" width="15.5703125" customWidth="1"/>
    <col min="8967" max="8967" width="29.140625" customWidth="1"/>
    <col min="8968" max="8968" width="16.7109375" customWidth="1"/>
    <col min="8969" max="8969" width="19.28515625" customWidth="1"/>
    <col min="8970" max="8970" width="23.28515625" customWidth="1"/>
    <col min="8971" max="8971" width="13.42578125" bestFit="1" customWidth="1"/>
    <col min="8977" max="8977" width="11.5703125" bestFit="1" customWidth="1"/>
    <col min="9217" max="9217" width="10.7109375" customWidth="1"/>
    <col min="9218" max="9218" width="41.42578125" customWidth="1"/>
    <col min="9219" max="9219" width="13.42578125" bestFit="1" customWidth="1"/>
    <col min="9220" max="9220" width="13.7109375" bestFit="1" customWidth="1"/>
    <col min="9221" max="9221" width="15.5703125" bestFit="1" customWidth="1"/>
    <col min="9222" max="9222" width="15.5703125" customWidth="1"/>
    <col min="9223" max="9223" width="29.140625" customWidth="1"/>
    <col min="9224" max="9224" width="16.7109375" customWidth="1"/>
    <col min="9225" max="9225" width="19.28515625" customWidth="1"/>
    <col min="9226" max="9226" width="23.28515625" customWidth="1"/>
    <col min="9227" max="9227" width="13.42578125" bestFit="1" customWidth="1"/>
    <col min="9233" max="9233" width="11.5703125" bestFit="1" customWidth="1"/>
    <col min="9473" max="9473" width="10.7109375" customWidth="1"/>
    <col min="9474" max="9474" width="41.42578125" customWidth="1"/>
    <col min="9475" max="9475" width="13.42578125" bestFit="1" customWidth="1"/>
    <col min="9476" max="9476" width="13.7109375" bestFit="1" customWidth="1"/>
    <col min="9477" max="9477" width="15.5703125" bestFit="1" customWidth="1"/>
    <col min="9478" max="9478" width="15.5703125" customWidth="1"/>
    <col min="9479" max="9479" width="29.140625" customWidth="1"/>
    <col min="9480" max="9480" width="16.7109375" customWidth="1"/>
    <col min="9481" max="9481" width="19.28515625" customWidth="1"/>
    <col min="9482" max="9482" width="23.28515625" customWidth="1"/>
    <col min="9483" max="9483" width="13.42578125" bestFit="1" customWidth="1"/>
    <col min="9489" max="9489" width="11.5703125" bestFit="1" customWidth="1"/>
    <col min="9729" max="9729" width="10.7109375" customWidth="1"/>
    <col min="9730" max="9730" width="41.42578125" customWidth="1"/>
    <col min="9731" max="9731" width="13.42578125" bestFit="1" customWidth="1"/>
    <col min="9732" max="9732" width="13.7109375" bestFit="1" customWidth="1"/>
    <col min="9733" max="9733" width="15.5703125" bestFit="1" customWidth="1"/>
    <col min="9734" max="9734" width="15.5703125" customWidth="1"/>
    <col min="9735" max="9735" width="29.140625" customWidth="1"/>
    <col min="9736" max="9736" width="16.7109375" customWidth="1"/>
    <col min="9737" max="9737" width="19.28515625" customWidth="1"/>
    <col min="9738" max="9738" width="23.28515625" customWidth="1"/>
    <col min="9739" max="9739" width="13.42578125" bestFit="1" customWidth="1"/>
    <col min="9745" max="9745" width="11.5703125" bestFit="1" customWidth="1"/>
    <col min="9985" max="9985" width="10.7109375" customWidth="1"/>
    <col min="9986" max="9986" width="41.42578125" customWidth="1"/>
    <col min="9987" max="9987" width="13.42578125" bestFit="1" customWidth="1"/>
    <col min="9988" max="9988" width="13.7109375" bestFit="1" customWidth="1"/>
    <col min="9989" max="9989" width="15.5703125" bestFit="1" customWidth="1"/>
    <col min="9990" max="9990" width="15.5703125" customWidth="1"/>
    <col min="9991" max="9991" width="29.140625" customWidth="1"/>
    <col min="9992" max="9992" width="16.7109375" customWidth="1"/>
    <col min="9993" max="9993" width="19.28515625" customWidth="1"/>
    <col min="9994" max="9994" width="23.28515625" customWidth="1"/>
    <col min="9995" max="9995" width="13.42578125" bestFit="1" customWidth="1"/>
    <col min="10001" max="10001" width="11.5703125" bestFit="1" customWidth="1"/>
    <col min="10241" max="10241" width="10.7109375" customWidth="1"/>
    <col min="10242" max="10242" width="41.42578125" customWidth="1"/>
    <col min="10243" max="10243" width="13.42578125" bestFit="1" customWidth="1"/>
    <col min="10244" max="10244" width="13.7109375" bestFit="1" customWidth="1"/>
    <col min="10245" max="10245" width="15.5703125" bestFit="1" customWidth="1"/>
    <col min="10246" max="10246" width="15.5703125" customWidth="1"/>
    <col min="10247" max="10247" width="29.140625" customWidth="1"/>
    <col min="10248" max="10248" width="16.7109375" customWidth="1"/>
    <col min="10249" max="10249" width="19.28515625" customWidth="1"/>
    <col min="10250" max="10250" width="23.28515625" customWidth="1"/>
    <col min="10251" max="10251" width="13.42578125" bestFit="1" customWidth="1"/>
    <col min="10257" max="10257" width="11.5703125" bestFit="1" customWidth="1"/>
    <col min="10497" max="10497" width="10.7109375" customWidth="1"/>
    <col min="10498" max="10498" width="41.42578125" customWidth="1"/>
    <col min="10499" max="10499" width="13.42578125" bestFit="1" customWidth="1"/>
    <col min="10500" max="10500" width="13.7109375" bestFit="1" customWidth="1"/>
    <col min="10501" max="10501" width="15.5703125" bestFit="1" customWidth="1"/>
    <col min="10502" max="10502" width="15.5703125" customWidth="1"/>
    <col min="10503" max="10503" width="29.140625" customWidth="1"/>
    <col min="10504" max="10504" width="16.7109375" customWidth="1"/>
    <col min="10505" max="10505" width="19.28515625" customWidth="1"/>
    <col min="10506" max="10506" width="23.28515625" customWidth="1"/>
    <col min="10507" max="10507" width="13.42578125" bestFit="1" customWidth="1"/>
    <col min="10513" max="10513" width="11.5703125" bestFit="1" customWidth="1"/>
    <col min="10753" max="10753" width="10.7109375" customWidth="1"/>
    <col min="10754" max="10754" width="41.42578125" customWidth="1"/>
    <col min="10755" max="10755" width="13.42578125" bestFit="1" customWidth="1"/>
    <col min="10756" max="10756" width="13.7109375" bestFit="1" customWidth="1"/>
    <col min="10757" max="10757" width="15.5703125" bestFit="1" customWidth="1"/>
    <col min="10758" max="10758" width="15.5703125" customWidth="1"/>
    <col min="10759" max="10759" width="29.140625" customWidth="1"/>
    <col min="10760" max="10760" width="16.7109375" customWidth="1"/>
    <col min="10761" max="10761" width="19.28515625" customWidth="1"/>
    <col min="10762" max="10762" width="23.28515625" customWidth="1"/>
    <col min="10763" max="10763" width="13.42578125" bestFit="1" customWidth="1"/>
    <col min="10769" max="10769" width="11.5703125" bestFit="1" customWidth="1"/>
    <col min="11009" max="11009" width="10.7109375" customWidth="1"/>
    <col min="11010" max="11010" width="41.42578125" customWidth="1"/>
    <col min="11011" max="11011" width="13.42578125" bestFit="1" customWidth="1"/>
    <col min="11012" max="11012" width="13.7109375" bestFit="1" customWidth="1"/>
    <col min="11013" max="11013" width="15.5703125" bestFit="1" customWidth="1"/>
    <col min="11014" max="11014" width="15.5703125" customWidth="1"/>
    <col min="11015" max="11015" width="29.140625" customWidth="1"/>
    <col min="11016" max="11016" width="16.7109375" customWidth="1"/>
    <col min="11017" max="11017" width="19.28515625" customWidth="1"/>
    <col min="11018" max="11018" width="23.28515625" customWidth="1"/>
    <col min="11019" max="11019" width="13.42578125" bestFit="1" customWidth="1"/>
    <col min="11025" max="11025" width="11.5703125" bestFit="1" customWidth="1"/>
    <col min="11265" max="11265" width="10.7109375" customWidth="1"/>
    <col min="11266" max="11266" width="41.42578125" customWidth="1"/>
    <col min="11267" max="11267" width="13.42578125" bestFit="1" customWidth="1"/>
    <col min="11268" max="11268" width="13.7109375" bestFit="1" customWidth="1"/>
    <col min="11269" max="11269" width="15.5703125" bestFit="1" customWidth="1"/>
    <col min="11270" max="11270" width="15.5703125" customWidth="1"/>
    <col min="11271" max="11271" width="29.140625" customWidth="1"/>
    <col min="11272" max="11272" width="16.7109375" customWidth="1"/>
    <col min="11273" max="11273" width="19.28515625" customWidth="1"/>
    <col min="11274" max="11274" width="23.28515625" customWidth="1"/>
    <col min="11275" max="11275" width="13.42578125" bestFit="1" customWidth="1"/>
    <col min="11281" max="11281" width="11.5703125" bestFit="1" customWidth="1"/>
    <col min="11521" max="11521" width="10.7109375" customWidth="1"/>
    <col min="11522" max="11522" width="41.42578125" customWidth="1"/>
    <col min="11523" max="11523" width="13.42578125" bestFit="1" customWidth="1"/>
    <col min="11524" max="11524" width="13.7109375" bestFit="1" customWidth="1"/>
    <col min="11525" max="11525" width="15.5703125" bestFit="1" customWidth="1"/>
    <col min="11526" max="11526" width="15.5703125" customWidth="1"/>
    <col min="11527" max="11527" width="29.140625" customWidth="1"/>
    <col min="11528" max="11528" width="16.7109375" customWidth="1"/>
    <col min="11529" max="11529" width="19.28515625" customWidth="1"/>
    <col min="11530" max="11530" width="23.28515625" customWidth="1"/>
    <col min="11531" max="11531" width="13.42578125" bestFit="1" customWidth="1"/>
    <col min="11537" max="11537" width="11.5703125" bestFit="1" customWidth="1"/>
    <col min="11777" max="11777" width="10.7109375" customWidth="1"/>
    <col min="11778" max="11778" width="41.42578125" customWidth="1"/>
    <col min="11779" max="11779" width="13.42578125" bestFit="1" customWidth="1"/>
    <col min="11780" max="11780" width="13.7109375" bestFit="1" customWidth="1"/>
    <col min="11781" max="11781" width="15.5703125" bestFit="1" customWidth="1"/>
    <col min="11782" max="11782" width="15.5703125" customWidth="1"/>
    <col min="11783" max="11783" width="29.140625" customWidth="1"/>
    <col min="11784" max="11784" width="16.7109375" customWidth="1"/>
    <col min="11785" max="11785" width="19.28515625" customWidth="1"/>
    <col min="11786" max="11786" width="23.28515625" customWidth="1"/>
    <col min="11787" max="11787" width="13.42578125" bestFit="1" customWidth="1"/>
    <col min="11793" max="11793" width="11.5703125" bestFit="1" customWidth="1"/>
    <col min="12033" max="12033" width="10.7109375" customWidth="1"/>
    <col min="12034" max="12034" width="41.42578125" customWidth="1"/>
    <col min="12035" max="12035" width="13.42578125" bestFit="1" customWidth="1"/>
    <col min="12036" max="12036" width="13.7109375" bestFit="1" customWidth="1"/>
    <col min="12037" max="12037" width="15.5703125" bestFit="1" customWidth="1"/>
    <col min="12038" max="12038" width="15.5703125" customWidth="1"/>
    <col min="12039" max="12039" width="29.140625" customWidth="1"/>
    <col min="12040" max="12040" width="16.7109375" customWidth="1"/>
    <col min="12041" max="12041" width="19.28515625" customWidth="1"/>
    <col min="12042" max="12042" width="23.28515625" customWidth="1"/>
    <col min="12043" max="12043" width="13.42578125" bestFit="1" customWidth="1"/>
    <col min="12049" max="12049" width="11.5703125" bestFit="1" customWidth="1"/>
    <col min="12289" max="12289" width="10.7109375" customWidth="1"/>
    <col min="12290" max="12290" width="41.42578125" customWidth="1"/>
    <col min="12291" max="12291" width="13.42578125" bestFit="1" customWidth="1"/>
    <col min="12292" max="12292" width="13.7109375" bestFit="1" customWidth="1"/>
    <col min="12293" max="12293" width="15.5703125" bestFit="1" customWidth="1"/>
    <col min="12294" max="12294" width="15.5703125" customWidth="1"/>
    <col min="12295" max="12295" width="29.140625" customWidth="1"/>
    <col min="12296" max="12296" width="16.7109375" customWidth="1"/>
    <col min="12297" max="12297" width="19.28515625" customWidth="1"/>
    <col min="12298" max="12298" width="23.28515625" customWidth="1"/>
    <col min="12299" max="12299" width="13.42578125" bestFit="1" customWidth="1"/>
    <col min="12305" max="12305" width="11.5703125" bestFit="1" customWidth="1"/>
    <col min="12545" max="12545" width="10.7109375" customWidth="1"/>
    <col min="12546" max="12546" width="41.42578125" customWidth="1"/>
    <col min="12547" max="12547" width="13.42578125" bestFit="1" customWidth="1"/>
    <col min="12548" max="12548" width="13.7109375" bestFit="1" customWidth="1"/>
    <col min="12549" max="12549" width="15.5703125" bestFit="1" customWidth="1"/>
    <col min="12550" max="12550" width="15.5703125" customWidth="1"/>
    <col min="12551" max="12551" width="29.140625" customWidth="1"/>
    <col min="12552" max="12552" width="16.7109375" customWidth="1"/>
    <col min="12553" max="12553" width="19.28515625" customWidth="1"/>
    <col min="12554" max="12554" width="23.28515625" customWidth="1"/>
    <col min="12555" max="12555" width="13.42578125" bestFit="1" customWidth="1"/>
    <col min="12561" max="12561" width="11.5703125" bestFit="1" customWidth="1"/>
    <col min="12801" max="12801" width="10.7109375" customWidth="1"/>
    <col min="12802" max="12802" width="41.42578125" customWidth="1"/>
    <col min="12803" max="12803" width="13.42578125" bestFit="1" customWidth="1"/>
    <col min="12804" max="12804" width="13.7109375" bestFit="1" customWidth="1"/>
    <col min="12805" max="12805" width="15.5703125" bestFit="1" customWidth="1"/>
    <col min="12806" max="12806" width="15.5703125" customWidth="1"/>
    <col min="12807" max="12807" width="29.140625" customWidth="1"/>
    <col min="12808" max="12808" width="16.7109375" customWidth="1"/>
    <col min="12809" max="12809" width="19.28515625" customWidth="1"/>
    <col min="12810" max="12810" width="23.28515625" customWidth="1"/>
    <col min="12811" max="12811" width="13.42578125" bestFit="1" customWidth="1"/>
    <col min="12817" max="12817" width="11.5703125" bestFit="1" customWidth="1"/>
    <col min="13057" max="13057" width="10.7109375" customWidth="1"/>
    <col min="13058" max="13058" width="41.42578125" customWidth="1"/>
    <col min="13059" max="13059" width="13.42578125" bestFit="1" customWidth="1"/>
    <col min="13060" max="13060" width="13.7109375" bestFit="1" customWidth="1"/>
    <col min="13061" max="13061" width="15.5703125" bestFit="1" customWidth="1"/>
    <col min="13062" max="13062" width="15.5703125" customWidth="1"/>
    <col min="13063" max="13063" width="29.140625" customWidth="1"/>
    <col min="13064" max="13064" width="16.7109375" customWidth="1"/>
    <col min="13065" max="13065" width="19.28515625" customWidth="1"/>
    <col min="13066" max="13066" width="23.28515625" customWidth="1"/>
    <col min="13067" max="13067" width="13.42578125" bestFit="1" customWidth="1"/>
    <col min="13073" max="13073" width="11.5703125" bestFit="1" customWidth="1"/>
    <col min="13313" max="13313" width="10.7109375" customWidth="1"/>
    <col min="13314" max="13314" width="41.42578125" customWidth="1"/>
    <col min="13315" max="13315" width="13.42578125" bestFit="1" customWidth="1"/>
    <col min="13316" max="13316" width="13.7109375" bestFit="1" customWidth="1"/>
    <col min="13317" max="13317" width="15.5703125" bestFit="1" customWidth="1"/>
    <col min="13318" max="13318" width="15.5703125" customWidth="1"/>
    <col min="13319" max="13319" width="29.140625" customWidth="1"/>
    <col min="13320" max="13320" width="16.7109375" customWidth="1"/>
    <col min="13321" max="13321" width="19.28515625" customWidth="1"/>
    <col min="13322" max="13322" width="23.28515625" customWidth="1"/>
    <col min="13323" max="13323" width="13.42578125" bestFit="1" customWidth="1"/>
    <col min="13329" max="13329" width="11.5703125" bestFit="1" customWidth="1"/>
    <col min="13569" max="13569" width="10.7109375" customWidth="1"/>
    <col min="13570" max="13570" width="41.42578125" customWidth="1"/>
    <col min="13571" max="13571" width="13.42578125" bestFit="1" customWidth="1"/>
    <col min="13572" max="13572" width="13.7109375" bestFit="1" customWidth="1"/>
    <col min="13573" max="13573" width="15.5703125" bestFit="1" customWidth="1"/>
    <col min="13574" max="13574" width="15.5703125" customWidth="1"/>
    <col min="13575" max="13575" width="29.140625" customWidth="1"/>
    <col min="13576" max="13576" width="16.7109375" customWidth="1"/>
    <col min="13577" max="13577" width="19.28515625" customWidth="1"/>
    <col min="13578" max="13578" width="23.28515625" customWidth="1"/>
    <col min="13579" max="13579" width="13.42578125" bestFit="1" customWidth="1"/>
    <col min="13585" max="13585" width="11.5703125" bestFit="1" customWidth="1"/>
    <col min="13825" max="13825" width="10.7109375" customWidth="1"/>
    <col min="13826" max="13826" width="41.42578125" customWidth="1"/>
    <col min="13827" max="13827" width="13.42578125" bestFit="1" customWidth="1"/>
    <col min="13828" max="13828" width="13.7109375" bestFit="1" customWidth="1"/>
    <col min="13829" max="13829" width="15.5703125" bestFit="1" customWidth="1"/>
    <col min="13830" max="13830" width="15.5703125" customWidth="1"/>
    <col min="13831" max="13831" width="29.140625" customWidth="1"/>
    <col min="13832" max="13832" width="16.7109375" customWidth="1"/>
    <col min="13833" max="13833" width="19.28515625" customWidth="1"/>
    <col min="13834" max="13834" width="23.28515625" customWidth="1"/>
    <col min="13835" max="13835" width="13.42578125" bestFit="1" customWidth="1"/>
    <col min="13841" max="13841" width="11.5703125" bestFit="1" customWidth="1"/>
    <col min="14081" max="14081" width="10.7109375" customWidth="1"/>
    <col min="14082" max="14082" width="41.42578125" customWidth="1"/>
    <col min="14083" max="14083" width="13.42578125" bestFit="1" customWidth="1"/>
    <col min="14084" max="14084" width="13.7109375" bestFit="1" customWidth="1"/>
    <col min="14085" max="14085" width="15.5703125" bestFit="1" customWidth="1"/>
    <col min="14086" max="14086" width="15.5703125" customWidth="1"/>
    <col min="14087" max="14087" width="29.140625" customWidth="1"/>
    <col min="14088" max="14088" width="16.7109375" customWidth="1"/>
    <col min="14089" max="14089" width="19.28515625" customWidth="1"/>
    <col min="14090" max="14090" width="23.28515625" customWidth="1"/>
    <col min="14091" max="14091" width="13.42578125" bestFit="1" customWidth="1"/>
    <col min="14097" max="14097" width="11.5703125" bestFit="1" customWidth="1"/>
    <col min="14337" max="14337" width="10.7109375" customWidth="1"/>
    <col min="14338" max="14338" width="41.42578125" customWidth="1"/>
    <col min="14339" max="14339" width="13.42578125" bestFit="1" customWidth="1"/>
    <col min="14340" max="14340" width="13.7109375" bestFit="1" customWidth="1"/>
    <col min="14341" max="14341" width="15.5703125" bestFit="1" customWidth="1"/>
    <col min="14342" max="14342" width="15.5703125" customWidth="1"/>
    <col min="14343" max="14343" width="29.140625" customWidth="1"/>
    <col min="14344" max="14344" width="16.7109375" customWidth="1"/>
    <col min="14345" max="14345" width="19.28515625" customWidth="1"/>
    <col min="14346" max="14346" width="23.28515625" customWidth="1"/>
    <col min="14347" max="14347" width="13.42578125" bestFit="1" customWidth="1"/>
    <col min="14353" max="14353" width="11.5703125" bestFit="1" customWidth="1"/>
    <col min="14593" max="14593" width="10.7109375" customWidth="1"/>
    <col min="14594" max="14594" width="41.42578125" customWidth="1"/>
    <col min="14595" max="14595" width="13.42578125" bestFit="1" customWidth="1"/>
    <col min="14596" max="14596" width="13.7109375" bestFit="1" customWidth="1"/>
    <col min="14597" max="14597" width="15.5703125" bestFit="1" customWidth="1"/>
    <col min="14598" max="14598" width="15.5703125" customWidth="1"/>
    <col min="14599" max="14599" width="29.140625" customWidth="1"/>
    <col min="14600" max="14600" width="16.7109375" customWidth="1"/>
    <col min="14601" max="14601" width="19.28515625" customWidth="1"/>
    <col min="14602" max="14602" width="23.28515625" customWidth="1"/>
    <col min="14603" max="14603" width="13.42578125" bestFit="1" customWidth="1"/>
    <col min="14609" max="14609" width="11.5703125" bestFit="1" customWidth="1"/>
    <col min="14849" max="14849" width="10.7109375" customWidth="1"/>
    <col min="14850" max="14850" width="41.42578125" customWidth="1"/>
    <col min="14851" max="14851" width="13.42578125" bestFit="1" customWidth="1"/>
    <col min="14852" max="14852" width="13.7109375" bestFit="1" customWidth="1"/>
    <col min="14853" max="14853" width="15.5703125" bestFit="1" customWidth="1"/>
    <col min="14854" max="14854" width="15.5703125" customWidth="1"/>
    <col min="14855" max="14855" width="29.140625" customWidth="1"/>
    <col min="14856" max="14856" width="16.7109375" customWidth="1"/>
    <col min="14857" max="14857" width="19.28515625" customWidth="1"/>
    <col min="14858" max="14858" width="23.28515625" customWidth="1"/>
    <col min="14859" max="14859" width="13.42578125" bestFit="1" customWidth="1"/>
    <col min="14865" max="14865" width="11.5703125" bestFit="1" customWidth="1"/>
    <col min="15105" max="15105" width="10.7109375" customWidth="1"/>
    <col min="15106" max="15106" width="41.42578125" customWidth="1"/>
    <col min="15107" max="15107" width="13.42578125" bestFit="1" customWidth="1"/>
    <col min="15108" max="15108" width="13.7109375" bestFit="1" customWidth="1"/>
    <col min="15109" max="15109" width="15.5703125" bestFit="1" customWidth="1"/>
    <col min="15110" max="15110" width="15.5703125" customWidth="1"/>
    <col min="15111" max="15111" width="29.140625" customWidth="1"/>
    <col min="15112" max="15112" width="16.7109375" customWidth="1"/>
    <col min="15113" max="15113" width="19.28515625" customWidth="1"/>
    <col min="15114" max="15114" width="23.28515625" customWidth="1"/>
    <col min="15115" max="15115" width="13.42578125" bestFit="1" customWidth="1"/>
    <col min="15121" max="15121" width="11.5703125" bestFit="1" customWidth="1"/>
    <col min="15361" max="15361" width="10.7109375" customWidth="1"/>
    <col min="15362" max="15362" width="41.42578125" customWidth="1"/>
    <col min="15363" max="15363" width="13.42578125" bestFit="1" customWidth="1"/>
    <col min="15364" max="15364" width="13.7109375" bestFit="1" customWidth="1"/>
    <col min="15365" max="15365" width="15.5703125" bestFit="1" customWidth="1"/>
    <col min="15366" max="15366" width="15.5703125" customWidth="1"/>
    <col min="15367" max="15367" width="29.140625" customWidth="1"/>
    <col min="15368" max="15368" width="16.7109375" customWidth="1"/>
    <col min="15369" max="15369" width="19.28515625" customWidth="1"/>
    <col min="15370" max="15370" width="23.28515625" customWidth="1"/>
    <col min="15371" max="15371" width="13.42578125" bestFit="1" customWidth="1"/>
    <col min="15377" max="15377" width="11.5703125" bestFit="1" customWidth="1"/>
    <col min="15617" max="15617" width="10.7109375" customWidth="1"/>
    <col min="15618" max="15618" width="41.42578125" customWidth="1"/>
    <col min="15619" max="15619" width="13.42578125" bestFit="1" customWidth="1"/>
    <col min="15620" max="15620" width="13.7109375" bestFit="1" customWidth="1"/>
    <col min="15621" max="15621" width="15.5703125" bestFit="1" customWidth="1"/>
    <col min="15622" max="15622" width="15.5703125" customWidth="1"/>
    <col min="15623" max="15623" width="29.140625" customWidth="1"/>
    <col min="15624" max="15624" width="16.7109375" customWidth="1"/>
    <col min="15625" max="15625" width="19.28515625" customWidth="1"/>
    <col min="15626" max="15626" width="23.28515625" customWidth="1"/>
    <col min="15627" max="15627" width="13.42578125" bestFit="1" customWidth="1"/>
    <col min="15633" max="15633" width="11.5703125" bestFit="1" customWidth="1"/>
    <col min="15873" max="15873" width="10.7109375" customWidth="1"/>
    <col min="15874" max="15874" width="41.42578125" customWidth="1"/>
    <col min="15875" max="15875" width="13.42578125" bestFit="1" customWidth="1"/>
    <col min="15876" max="15876" width="13.7109375" bestFit="1" customWidth="1"/>
    <col min="15877" max="15877" width="15.5703125" bestFit="1" customWidth="1"/>
    <col min="15878" max="15878" width="15.5703125" customWidth="1"/>
    <col min="15879" max="15879" width="29.140625" customWidth="1"/>
    <col min="15880" max="15880" width="16.7109375" customWidth="1"/>
    <col min="15881" max="15881" width="19.28515625" customWidth="1"/>
    <col min="15882" max="15882" width="23.28515625" customWidth="1"/>
    <col min="15883" max="15883" width="13.42578125" bestFit="1" customWidth="1"/>
    <col min="15889" max="15889" width="11.5703125" bestFit="1" customWidth="1"/>
    <col min="16129" max="16129" width="10.7109375" customWidth="1"/>
    <col min="16130" max="16130" width="41.42578125" customWidth="1"/>
    <col min="16131" max="16131" width="13.42578125" bestFit="1" customWidth="1"/>
    <col min="16132" max="16132" width="13.7109375" bestFit="1" customWidth="1"/>
    <col min="16133" max="16133" width="15.5703125" bestFit="1" customWidth="1"/>
    <col min="16134" max="16134" width="15.5703125" customWidth="1"/>
    <col min="16135" max="16135" width="29.140625" customWidth="1"/>
    <col min="16136" max="16136" width="16.7109375" customWidth="1"/>
    <col min="16137" max="16137" width="19.28515625" customWidth="1"/>
    <col min="16138" max="16138" width="23.28515625" customWidth="1"/>
    <col min="16139" max="16139" width="13.42578125" bestFit="1" customWidth="1"/>
    <col min="16145" max="16145" width="11.5703125" bestFit="1" customWidth="1"/>
  </cols>
  <sheetData>
    <row r="1" spans="1:11" ht="15" customHeight="1" x14ac:dyDescent="0.25">
      <c r="A1" s="231" t="s">
        <v>276</v>
      </c>
      <c r="B1" s="232"/>
      <c r="C1" s="232"/>
      <c r="D1" s="232"/>
      <c r="E1" s="233"/>
      <c r="F1" s="20"/>
      <c r="G1" s="21"/>
      <c r="H1" s="21"/>
      <c r="I1" s="21"/>
      <c r="J1" s="21"/>
      <c r="K1" s="22"/>
    </row>
    <row r="2" spans="1:11" x14ac:dyDescent="0.25">
      <c r="A2" s="23"/>
      <c r="B2" s="24"/>
      <c r="C2" s="24"/>
      <c r="D2" s="25"/>
      <c r="E2" s="26"/>
      <c r="F2" s="27"/>
      <c r="G2" s="21"/>
      <c r="H2" s="21"/>
      <c r="I2" s="21"/>
      <c r="J2" s="21"/>
      <c r="K2" s="22"/>
    </row>
    <row r="3" spans="1:11" ht="15.75" x14ac:dyDescent="0.25">
      <c r="A3" s="234" t="s">
        <v>277</v>
      </c>
      <c r="B3" s="235"/>
      <c r="C3" s="235"/>
      <c r="D3" s="235"/>
      <c r="E3" s="236"/>
      <c r="F3" s="28"/>
      <c r="G3" s="21"/>
      <c r="H3" s="21"/>
      <c r="I3" s="21"/>
      <c r="J3" s="21"/>
      <c r="K3" s="22"/>
    </row>
    <row r="4" spans="1:11" ht="6" customHeight="1" x14ac:dyDescent="0.25">
      <c r="A4" s="23"/>
      <c r="B4" s="24"/>
      <c r="C4" s="24"/>
      <c r="D4" s="25"/>
      <c r="E4" s="26"/>
      <c r="F4" s="27"/>
      <c r="G4" s="21"/>
      <c r="H4" s="21"/>
      <c r="I4" s="21"/>
      <c r="J4" s="21"/>
      <c r="K4" s="22"/>
    </row>
    <row r="5" spans="1:11" x14ac:dyDescent="0.25">
      <c r="A5" s="237" t="s">
        <v>278</v>
      </c>
      <c r="B5" s="238"/>
      <c r="C5" s="238"/>
      <c r="D5" s="238"/>
      <c r="E5" s="239"/>
      <c r="F5" s="28"/>
      <c r="G5" s="21"/>
      <c r="H5" s="21"/>
      <c r="I5" s="21"/>
      <c r="J5" s="21"/>
      <c r="K5" s="22"/>
    </row>
    <row r="6" spans="1:11" ht="7.5" customHeight="1" thickBot="1" x14ac:dyDescent="0.3">
      <c r="A6" s="23"/>
      <c r="B6" s="24"/>
      <c r="C6" s="24"/>
      <c r="D6" s="25"/>
      <c r="E6" s="26"/>
      <c r="F6" s="27"/>
      <c r="G6" s="21"/>
      <c r="H6" s="21"/>
      <c r="I6" s="21"/>
      <c r="J6" s="21"/>
      <c r="K6" s="22"/>
    </row>
    <row r="7" spans="1:11" x14ac:dyDescent="0.25">
      <c r="A7" s="240" t="s">
        <v>279</v>
      </c>
      <c r="B7" s="242" t="s">
        <v>280</v>
      </c>
      <c r="C7" s="29" t="s">
        <v>281</v>
      </c>
      <c r="D7" s="30" t="s">
        <v>282</v>
      </c>
      <c r="E7" s="31" t="s">
        <v>258</v>
      </c>
      <c r="F7" s="28"/>
      <c r="G7" s="21"/>
      <c r="H7" s="21"/>
      <c r="I7" s="21"/>
      <c r="J7" s="21"/>
      <c r="K7" s="22"/>
    </row>
    <row r="8" spans="1:11" ht="14.25" customHeight="1" thickBot="1" x14ac:dyDescent="0.3">
      <c r="A8" s="241"/>
      <c r="B8" s="243"/>
      <c r="C8" s="32" t="s">
        <v>283</v>
      </c>
      <c r="D8" s="33" t="s">
        <v>12</v>
      </c>
      <c r="E8" s="34" t="s">
        <v>284</v>
      </c>
      <c r="F8" s="28"/>
      <c r="G8" s="21"/>
      <c r="H8" s="21"/>
      <c r="I8" s="21"/>
      <c r="J8" s="21"/>
      <c r="K8" s="22"/>
    </row>
    <row r="9" spans="1:11" ht="15.75" thickBot="1" x14ac:dyDescent="0.3">
      <c r="A9" s="35">
        <v>1</v>
      </c>
      <c r="B9" s="32">
        <v>2</v>
      </c>
      <c r="C9" s="32">
        <v>3</v>
      </c>
      <c r="D9" s="36">
        <v>4</v>
      </c>
      <c r="E9" s="34">
        <v>5</v>
      </c>
      <c r="F9" s="28"/>
      <c r="G9" s="21">
        <f>+C11*2/100</f>
        <v>48657392.020000003</v>
      </c>
      <c r="H9" s="21"/>
      <c r="I9" s="21"/>
      <c r="J9" s="21"/>
      <c r="K9" s="22"/>
    </row>
    <row r="10" spans="1:11" ht="15.75" thickBot="1" x14ac:dyDescent="0.3">
      <c r="A10" s="37" t="s">
        <v>285</v>
      </c>
      <c r="B10" s="38"/>
      <c r="C10" s="39"/>
      <c r="D10" s="40"/>
      <c r="E10" s="41"/>
      <c r="F10" s="28"/>
      <c r="G10" s="21"/>
      <c r="H10" s="21"/>
      <c r="I10" s="21"/>
      <c r="J10" s="21"/>
      <c r="K10" s="22"/>
    </row>
    <row r="11" spans="1:11" s="48" customFormat="1" x14ac:dyDescent="0.25">
      <c r="A11" s="42" t="s">
        <v>286</v>
      </c>
      <c r="B11" s="43" t="s">
        <v>287</v>
      </c>
      <c r="C11" s="44">
        <f>+C12+C32+C36</f>
        <v>2432869601</v>
      </c>
      <c r="D11" s="44">
        <f>+D12+D16+D20+D32+D36</f>
        <v>358166189</v>
      </c>
      <c r="E11" s="45">
        <f t="shared" ref="E11:E74" si="0">+C11+D11</f>
        <v>2791035790</v>
      </c>
      <c r="F11" s="46"/>
      <c r="G11" s="45"/>
      <c r="H11" s="47">
        <f>D11-358166189</f>
        <v>0</v>
      </c>
      <c r="K11" s="47"/>
    </row>
    <row r="12" spans="1:11" s="48" customFormat="1" x14ac:dyDescent="0.25">
      <c r="A12" s="49" t="s">
        <v>288</v>
      </c>
      <c r="B12" s="50" t="s">
        <v>289</v>
      </c>
      <c r="C12" s="51">
        <f>+C13+C16+C19+C28+C30</f>
        <v>1733354890</v>
      </c>
      <c r="D12" s="51">
        <v>0</v>
      </c>
      <c r="E12" s="52">
        <f t="shared" si="0"/>
        <v>1733354890</v>
      </c>
      <c r="F12" s="53"/>
      <c r="G12" s="52"/>
      <c r="K12" s="47"/>
    </row>
    <row r="13" spans="1:11" s="48" customFormat="1" x14ac:dyDescent="0.25">
      <c r="A13" s="54" t="s">
        <v>290</v>
      </c>
      <c r="B13" s="55" t="s">
        <v>291</v>
      </c>
      <c r="C13" s="56">
        <f>SUM(C14:C15)</f>
        <v>326019137</v>
      </c>
      <c r="D13" s="57">
        <f>SUM(D14:D15)</f>
        <v>0</v>
      </c>
      <c r="E13" s="58">
        <f t="shared" si="0"/>
        <v>326019137</v>
      </c>
      <c r="F13" s="59"/>
      <c r="K13" s="47"/>
    </row>
    <row r="14" spans="1:11" s="48" customFormat="1" x14ac:dyDescent="0.25">
      <c r="A14" s="60" t="s">
        <v>292</v>
      </c>
      <c r="B14" s="61" t="s">
        <v>293</v>
      </c>
      <c r="C14" s="62">
        <v>307072240</v>
      </c>
      <c r="D14" s="63">
        <v>0</v>
      </c>
      <c r="E14" s="64">
        <f t="shared" si="0"/>
        <v>307072240</v>
      </c>
      <c r="F14" s="65"/>
      <c r="K14" s="47"/>
    </row>
    <row r="15" spans="1:11" s="48" customFormat="1" x14ac:dyDescent="0.25">
      <c r="A15" s="60" t="s">
        <v>294</v>
      </c>
      <c r="B15" s="66" t="s">
        <v>295</v>
      </c>
      <c r="C15" s="63">
        <v>18946897</v>
      </c>
      <c r="D15" s="63">
        <v>0</v>
      </c>
      <c r="E15" s="64">
        <f t="shared" si="0"/>
        <v>18946897</v>
      </c>
      <c r="F15" s="65"/>
      <c r="K15" s="47"/>
    </row>
    <row r="16" spans="1:11" s="48" customFormat="1" x14ac:dyDescent="0.25">
      <c r="A16" s="54" t="s">
        <v>296</v>
      </c>
      <c r="B16" s="55" t="s">
        <v>297</v>
      </c>
      <c r="C16" s="56">
        <f>SUM(C17:C18)</f>
        <v>46248140</v>
      </c>
      <c r="D16" s="57">
        <f>SUM(D17:D18)</f>
        <v>0</v>
      </c>
      <c r="E16" s="58">
        <f t="shared" si="0"/>
        <v>46248140</v>
      </c>
      <c r="F16" s="59"/>
      <c r="K16" s="47"/>
    </row>
    <row r="17" spans="1:11" s="48" customFormat="1" x14ac:dyDescent="0.25">
      <c r="A17" s="60" t="s">
        <v>298</v>
      </c>
      <c r="B17" s="61" t="s">
        <v>299</v>
      </c>
      <c r="C17" s="62">
        <v>13334903</v>
      </c>
      <c r="D17" s="63">
        <v>0</v>
      </c>
      <c r="E17" s="64">
        <f t="shared" si="0"/>
        <v>13334903</v>
      </c>
      <c r="F17" s="65"/>
      <c r="K17" s="47"/>
    </row>
    <row r="18" spans="1:11" s="48" customFormat="1" x14ac:dyDescent="0.25">
      <c r="A18" s="60" t="s">
        <v>300</v>
      </c>
      <c r="B18" s="61" t="s">
        <v>301</v>
      </c>
      <c r="C18" s="62">
        <v>32913237</v>
      </c>
      <c r="D18" s="63">
        <v>0</v>
      </c>
      <c r="E18" s="64">
        <f t="shared" si="0"/>
        <v>32913237</v>
      </c>
      <c r="F18" s="65"/>
      <c r="K18" s="47"/>
    </row>
    <row r="19" spans="1:11" s="48" customFormat="1" x14ac:dyDescent="0.25">
      <c r="A19" s="54" t="s">
        <v>302</v>
      </c>
      <c r="B19" s="55" t="s">
        <v>303</v>
      </c>
      <c r="C19" s="67">
        <f>SUM(C20:C27)</f>
        <v>139260589</v>
      </c>
      <c r="D19" s="57">
        <f>SUM(D20:D27)</f>
        <v>0</v>
      </c>
      <c r="E19" s="58">
        <f t="shared" si="0"/>
        <v>139260589</v>
      </c>
      <c r="F19" s="59"/>
      <c r="K19" s="47"/>
    </row>
    <row r="20" spans="1:11" s="48" customFormat="1" x14ac:dyDescent="0.25">
      <c r="A20" s="60" t="s">
        <v>304</v>
      </c>
      <c r="B20" s="61" t="s">
        <v>305</v>
      </c>
      <c r="C20" s="62">
        <v>13586818</v>
      </c>
      <c r="D20" s="63">
        <v>0</v>
      </c>
      <c r="E20" s="64">
        <f t="shared" si="0"/>
        <v>13586818</v>
      </c>
      <c r="F20" s="65"/>
      <c r="K20" s="47"/>
    </row>
    <row r="21" spans="1:11" s="48" customFormat="1" x14ac:dyDescent="0.25">
      <c r="A21" s="60" t="s">
        <v>306</v>
      </c>
      <c r="B21" s="61" t="s">
        <v>307</v>
      </c>
      <c r="C21" s="62">
        <v>2180139</v>
      </c>
      <c r="D21" s="63">
        <v>0</v>
      </c>
      <c r="E21" s="64">
        <f t="shared" si="0"/>
        <v>2180139</v>
      </c>
      <c r="F21" s="65"/>
      <c r="K21" s="47"/>
    </row>
    <row r="22" spans="1:11" s="48" customFormat="1" x14ac:dyDescent="0.25">
      <c r="A22" s="60" t="s">
        <v>308</v>
      </c>
      <c r="B22" s="61" t="s">
        <v>309</v>
      </c>
      <c r="C22" s="68">
        <v>4473058</v>
      </c>
      <c r="D22" s="63">
        <v>0</v>
      </c>
      <c r="E22" s="64">
        <f t="shared" si="0"/>
        <v>4473058</v>
      </c>
      <c r="F22" s="65"/>
      <c r="K22" s="47"/>
    </row>
    <row r="23" spans="1:11" s="48" customFormat="1" x14ac:dyDescent="0.25">
      <c r="A23" s="60" t="s">
        <v>310</v>
      </c>
      <c r="B23" s="61" t="s">
        <v>311</v>
      </c>
      <c r="C23" s="62">
        <v>5700960</v>
      </c>
      <c r="D23" s="63">
        <v>0</v>
      </c>
      <c r="E23" s="64">
        <f t="shared" si="0"/>
        <v>5700960</v>
      </c>
      <c r="F23" s="65"/>
      <c r="K23" s="47"/>
    </row>
    <row r="24" spans="1:11" s="48" customFormat="1" x14ac:dyDescent="0.25">
      <c r="A24" s="60" t="s">
        <v>312</v>
      </c>
      <c r="B24" s="61" t="s">
        <v>313</v>
      </c>
      <c r="C24" s="62">
        <v>20259335</v>
      </c>
      <c r="D24" s="63">
        <v>0</v>
      </c>
      <c r="E24" s="64">
        <f t="shared" si="0"/>
        <v>20259335</v>
      </c>
      <c r="F24" s="65"/>
      <c r="K24" s="47"/>
    </row>
    <row r="25" spans="1:11" s="48" customFormat="1" x14ac:dyDescent="0.25">
      <c r="A25" s="60" t="s">
        <v>314</v>
      </c>
      <c r="B25" s="61" t="s">
        <v>315</v>
      </c>
      <c r="C25" s="62">
        <v>18752534</v>
      </c>
      <c r="D25" s="63">
        <v>0</v>
      </c>
      <c r="E25" s="64">
        <f t="shared" si="0"/>
        <v>18752534</v>
      </c>
      <c r="F25" s="65"/>
      <c r="K25" s="47"/>
    </row>
    <row r="26" spans="1:11" s="48" customFormat="1" x14ac:dyDescent="0.25">
      <c r="A26" s="60" t="s">
        <v>316</v>
      </c>
      <c r="B26" s="66" t="s">
        <v>317</v>
      </c>
      <c r="C26" s="63">
        <v>8120115</v>
      </c>
      <c r="D26" s="63">
        <v>0</v>
      </c>
      <c r="E26" s="64">
        <f t="shared" si="0"/>
        <v>8120115</v>
      </c>
      <c r="F26" s="65"/>
      <c r="K26" s="47"/>
    </row>
    <row r="27" spans="1:11" s="48" customFormat="1" x14ac:dyDescent="0.25">
      <c r="A27" s="60" t="s">
        <v>318</v>
      </c>
      <c r="B27" s="61" t="s">
        <v>319</v>
      </c>
      <c r="C27" s="62">
        <v>66187630</v>
      </c>
      <c r="D27" s="63">
        <v>0</v>
      </c>
      <c r="E27" s="64">
        <f t="shared" si="0"/>
        <v>66187630</v>
      </c>
      <c r="F27" s="65"/>
      <c r="K27" s="47"/>
    </row>
    <row r="28" spans="1:11" s="48" customFormat="1" ht="24.75" x14ac:dyDescent="0.25">
      <c r="A28" s="54" t="s">
        <v>320</v>
      </c>
      <c r="B28" s="55" t="s">
        <v>321</v>
      </c>
      <c r="C28" s="56">
        <f>SUM(C29)</f>
        <v>1214795541</v>
      </c>
      <c r="D28" s="69">
        <v>0</v>
      </c>
      <c r="E28" s="58">
        <f t="shared" si="0"/>
        <v>1214795541</v>
      </c>
      <c r="F28" s="59"/>
      <c r="K28" s="47"/>
    </row>
    <row r="29" spans="1:11" s="48" customFormat="1" ht="24.75" x14ac:dyDescent="0.25">
      <c r="A29" s="60" t="s">
        <v>322</v>
      </c>
      <c r="B29" s="61" t="s">
        <v>321</v>
      </c>
      <c r="C29" s="62">
        <v>1214795541</v>
      </c>
      <c r="D29" s="70">
        <v>0</v>
      </c>
      <c r="E29" s="64">
        <f t="shared" si="0"/>
        <v>1214795541</v>
      </c>
      <c r="F29" s="65"/>
      <c r="K29" s="47"/>
    </row>
    <row r="30" spans="1:11" s="48" customFormat="1" ht="24.75" x14ac:dyDescent="0.25">
      <c r="A30" s="54" t="s">
        <v>323</v>
      </c>
      <c r="B30" s="55" t="s">
        <v>324</v>
      </c>
      <c r="C30" s="56">
        <f>SUM(C31)</f>
        <v>7031483</v>
      </c>
      <c r="D30" s="69">
        <f>+D31</f>
        <v>0</v>
      </c>
      <c r="E30" s="58">
        <f t="shared" si="0"/>
        <v>7031483</v>
      </c>
      <c r="F30" s="59"/>
      <c r="K30" s="47"/>
    </row>
    <row r="31" spans="1:11" s="48" customFormat="1" x14ac:dyDescent="0.25">
      <c r="A31" s="71" t="s">
        <v>325</v>
      </c>
      <c r="B31" s="72" t="s">
        <v>326</v>
      </c>
      <c r="C31" s="73">
        <v>7031483</v>
      </c>
      <c r="D31" s="74">
        <v>0</v>
      </c>
      <c r="E31" s="75">
        <f t="shared" si="0"/>
        <v>7031483</v>
      </c>
      <c r="F31" s="59"/>
      <c r="K31" s="47"/>
    </row>
    <row r="32" spans="1:11" s="48" customFormat="1" ht="15.75" thickBot="1" x14ac:dyDescent="0.3">
      <c r="A32" s="49" t="s">
        <v>327</v>
      </c>
      <c r="B32" s="50" t="s">
        <v>328</v>
      </c>
      <c r="C32" s="76">
        <f>SUM(C33:C35)</f>
        <v>531558022</v>
      </c>
      <c r="D32" s="77">
        <f>SUM(D33:D35)</f>
        <v>358166189</v>
      </c>
      <c r="E32" s="52">
        <f t="shared" si="0"/>
        <v>889724211</v>
      </c>
      <c r="F32" s="65"/>
      <c r="G32" s="78">
        <f>+E32</f>
        <v>889724211</v>
      </c>
      <c r="K32" s="47"/>
    </row>
    <row r="33" spans="1:11" s="48" customFormat="1" ht="15.75" thickBot="1" x14ac:dyDescent="0.3">
      <c r="A33" s="60" t="s">
        <v>329</v>
      </c>
      <c r="B33" s="79" t="s">
        <v>330</v>
      </c>
      <c r="C33" s="80">
        <v>129836464</v>
      </c>
      <c r="D33" s="81">
        <v>168166189</v>
      </c>
      <c r="E33" s="64">
        <f t="shared" si="0"/>
        <v>298002653</v>
      </c>
      <c r="F33" s="82" t="s">
        <v>331</v>
      </c>
      <c r="K33" s="83"/>
    </row>
    <row r="34" spans="1:11" s="48" customFormat="1" ht="15.75" thickBot="1" x14ac:dyDescent="0.3">
      <c r="A34" s="60" t="s">
        <v>332</v>
      </c>
      <c r="B34" s="79" t="s">
        <v>333</v>
      </c>
      <c r="C34" s="80">
        <v>129721558</v>
      </c>
      <c r="D34" s="81">
        <v>110000000</v>
      </c>
      <c r="E34" s="64">
        <f t="shared" si="0"/>
        <v>239721558</v>
      </c>
      <c r="F34" s="82" t="s">
        <v>331</v>
      </c>
      <c r="K34" s="47"/>
    </row>
    <row r="35" spans="1:11" s="48" customFormat="1" ht="15.75" thickBot="1" x14ac:dyDescent="0.3">
      <c r="A35" s="60" t="s">
        <v>334</v>
      </c>
      <c r="B35" s="79" t="s">
        <v>211</v>
      </c>
      <c r="C35" s="80">
        <v>272000000</v>
      </c>
      <c r="D35" s="81">
        <v>80000000</v>
      </c>
      <c r="E35" s="64">
        <f t="shared" si="0"/>
        <v>352000000</v>
      </c>
      <c r="F35" s="82" t="s">
        <v>331</v>
      </c>
      <c r="H35" s="48">
        <f>+E35/2</f>
        <v>176000000</v>
      </c>
      <c r="K35" s="47"/>
    </row>
    <row r="36" spans="1:11" s="48" customFormat="1" ht="24.75" x14ac:dyDescent="0.25">
      <c r="A36" s="54" t="s">
        <v>335</v>
      </c>
      <c r="B36" s="55" t="s">
        <v>336</v>
      </c>
      <c r="C36" s="56">
        <f>SUM(C37:C44)</f>
        <v>167956689</v>
      </c>
      <c r="D36" s="57">
        <f>SUM(D37:D44)</f>
        <v>0</v>
      </c>
      <c r="E36" s="58">
        <f t="shared" si="0"/>
        <v>167956689</v>
      </c>
      <c r="F36" s="59"/>
      <c r="H36" s="78"/>
      <c r="K36" s="47"/>
    </row>
    <row r="37" spans="1:11" s="48" customFormat="1" x14ac:dyDescent="0.25">
      <c r="A37" s="60" t="s">
        <v>337</v>
      </c>
      <c r="B37" s="84" t="s">
        <v>338</v>
      </c>
      <c r="C37" s="62">
        <v>17923410</v>
      </c>
      <c r="D37" s="63">
        <v>0</v>
      </c>
      <c r="E37" s="64">
        <f t="shared" si="0"/>
        <v>17923410</v>
      </c>
      <c r="F37" s="65"/>
      <c r="I37" s="85"/>
      <c r="K37" s="47"/>
    </row>
    <row r="38" spans="1:11" s="48" customFormat="1" x14ac:dyDescent="0.25">
      <c r="A38" s="60" t="s">
        <v>339</v>
      </c>
      <c r="B38" s="84" t="s">
        <v>340</v>
      </c>
      <c r="C38" s="62">
        <v>25291670</v>
      </c>
      <c r="D38" s="63">
        <v>0</v>
      </c>
      <c r="E38" s="64">
        <f t="shared" si="0"/>
        <v>25291670</v>
      </c>
      <c r="F38" s="65"/>
      <c r="K38" s="47"/>
    </row>
    <row r="39" spans="1:11" s="48" customFormat="1" x14ac:dyDescent="0.25">
      <c r="A39" s="60" t="s">
        <v>341</v>
      </c>
      <c r="B39" s="84" t="s">
        <v>342</v>
      </c>
      <c r="C39" s="62">
        <v>35573129</v>
      </c>
      <c r="D39" s="63">
        <v>0</v>
      </c>
      <c r="E39" s="64">
        <f t="shared" si="0"/>
        <v>35573129</v>
      </c>
      <c r="F39" s="65"/>
      <c r="I39" s="85"/>
      <c r="K39" s="47"/>
    </row>
    <row r="40" spans="1:11" s="48" customFormat="1" x14ac:dyDescent="0.25">
      <c r="A40" s="60" t="s">
        <v>343</v>
      </c>
      <c r="B40" s="79" t="s">
        <v>344</v>
      </c>
      <c r="C40" s="63">
        <v>40774296</v>
      </c>
      <c r="D40" s="63">
        <v>0</v>
      </c>
      <c r="E40" s="64">
        <f t="shared" si="0"/>
        <v>40774296</v>
      </c>
      <c r="F40" s="65"/>
      <c r="I40" s="85"/>
      <c r="K40" s="47"/>
    </row>
    <row r="41" spans="1:11" s="48" customFormat="1" x14ac:dyDescent="0.25">
      <c r="A41" s="60" t="s">
        <v>345</v>
      </c>
      <c r="B41" s="84" t="s">
        <v>346</v>
      </c>
      <c r="C41" s="62">
        <v>25291670</v>
      </c>
      <c r="D41" s="63">
        <v>0</v>
      </c>
      <c r="E41" s="64">
        <f t="shared" si="0"/>
        <v>25291670</v>
      </c>
      <c r="F41" s="65"/>
      <c r="K41" s="47"/>
    </row>
    <row r="42" spans="1:11" s="48" customFormat="1" ht="44.25" customHeight="1" x14ac:dyDescent="0.25">
      <c r="A42" s="60" t="s">
        <v>347</v>
      </c>
      <c r="B42" s="61" t="s">
        <v>348</v>
      </c>
      <c r="C42" s="62">
        <v>1358430</v>
      </c>
      <c r="D42" s="63">
        <v>0</v>
      </c>
      <c r="E42" s="64">
        <f t="shared" si="0"/>
        <v>1358430</v>
      </c>
      <c r="F42" s="65"/>
      <c r="I42" s="85"/>
      <c r="K42" s="47"/>
    </row>
    <row r="43" spans="1:11" s="48" customFormat="1" x14ac:dyDescent="0.25">
      <c r="A43" s="60" t="s">
        <v>349</v>
      </c>
      <c r="B43" s="84" t="s">
        <v>350</v>
      </c>
      <c r="C43" s="62">
        <v>13222499</v>
      </c>
      <c r="D43" s="63">
        <v>0</v>
      </c>
      <c r="E43" s="64">
        <f t="shared" si="0"/>
        <v>13222499</v>
      </c>
      <c r="F43" s="65"/>
      <c r="I43" s="85"/>
      <c r="K43" s="47"/>
    </row>
    <row r="44" spans="1:11" s="48" customFormat="1" x14ac:dyDescent="0.25">
      <c r="A44" s="60" t="s">
        <v>351</v>
      </c>
      <c r="B44" s="84" t="s">
        <v>352</v>
      </c>
      <c r="C44" s="62">
        <v>8521585</v>
      </c>
      <c r="D44" s="63">
        <v>0</v>
      </c>
      <c r="E44" s="64">
        <f t="shared" si="0"/>
        <v>8521585</v>
      </c>
      <c r="F44" s="65"/>
      <c r="I44" s="85"/>
      <c r="K44" s="47"/>
    </row>
    <row r="45" spans="1:11" s="92" customFormat="1" x14ac:dyDescent="0.25">
      <c r="A45" s="86" t="s">
        <v>353</v>
      </c>
      <c r="B45" s="87" t="s">
        <v>354</v>
      </c>
      <c r="C45" s="88">
        <f>+C46</f>
        <v>175643315</v>
      </c>
      <c r="D45" s="88">
        <f>+D46</f>
        <v>203341928</v>
      </c>
      <c r="E45" s="89">
        <f t="shared" si="0"/>
        <v>378985243</v>
      </c>
      <c r="F45" s="65"/>
      <c r="G45" s="90">
        <f>+E45-E69</f>
        <v>301514115</v>
      </c>
      <c r="H45" s="91">
        <f>D45-203341928</f>
        <v>0</v>
      </c>
      <c r="I45" s="91"/>
      <c r="K45" s="91"/>
    </row>
    <row r="46" spans="1:11" s="98" customFormat="1" x14ac:dyDescent="0.25">
      <c r="A46" s="93" t="s">
        <v>355</v>
      </c>
      <c r="B46" s="94" t="s">
        <v>356</v>
      </c>
      <c r="C46" s="95">
        <f>C47+C50+C58+C65+C69+C78</f>
        <v>175643315</v>
      </c>
      <c r="D46" s="95">
        <f>+D47+D50+D58+D62+D65+D69+D74+D76+D78+D80</f>
        <v>203341928</v>
      </c>
      <c r="E46" s="96">
        <f t="shared" si="0"/>
        <v>378985243</v>
      </c>
      <c r="F46" s="97"/>
      <c r="K46" s="99"/>
    </row>
    <row r="47" spans="1:11" s="48" customFormat="1" x14ac:dyDescent="0.25">
      <c r="A47" s="49" t="s">
        <v>357</v>
      </c>
      <c r="B47" s="100" t="s">
        <v>104</v>
      </c>
      <c r="C47" s="76">
        <f>SUM(C48:C49)</f>
        <v>0</v>
      </c>
      <c r="D47" s="77">
        <f>SUM(D48:D49)</f>
        <v>25000000</v>
      </c>
      <c r="E47" s="52">
        <f t="shared" si="0"/>
        <v>25000000</v>
      </c>
      <c r="F47" s="65"/>
      <c r="K47" s="47"/>
    </row>
    <row r="48" spans="1:11" s="48" customFormat="1" x14ac:dyDescent="0.25">
      <c r="A48" s="60" t="s">
        <v>358</v>
      </c>
      <c r="B48" s="61" t="s">
        <v>359</v>
      </c>
      <c r="C48" s="62">
        <v>0</v>
      </c>
      <c r="D48" s="70">
        <v>10000000</v>
      </c>
      <c r="E48" s="64">
        <f t="shared" si="0"/>
        <v>10000000</v>
      </c>
      <c r="F48" s="65"/>
      <c r="K48" s="47"/>
    </row>
    <row r="49" spans="1:17" s="48" customFormat="1" x14ac:dyDescent="0.25">
      <c r="A49" s="60" t="s">
        <v>360</v>
      </c>
      <c r="B49" s="61" t="s">
        <v>361</v>
      </c>
      <c r="C49" s="62">
        <v>0</v>
      </c>
      <c r="D49" s="70">
        <v>15000000</v>
      </c>
      <c r="E49" s="64">
        <f t="shared" si="0"/>
        <v>15000000</v>
      </c>
      <c r="F49" s="65"/>
      <c r="K49" s="47"/>
    </row>
    <row r="50" spans="1:17" s="101" customFormat="1" x14ac:dyDescent="0.25">
      <c r="A50" s="49" t="s">
        <v>362</v>
      </c>
      <c r="B50" s="100" t="s">
        <v>363</v>
      </c>
      <c r="C50" s="76">
        <f>SUM(C51:C57)</f>
        <v>7395734</v>
      </c>
      <c r="D50" s="51">
        <f>SUM(D51:D57)</f>
        <v>16500000</v>
      </c>
      <c r="E50" s="52">
        <f t="shared" si="0"/>
        <v>23895734</v>
      </c>
      <c r="F50" s="65"/>
      <c r="H50" s="102"/>
      <c r="K50" s="103"/>
    </row>
    <row r="51" spans="1:17" s="48" customFormat="1" ht="15.75" thickBot="1" x14ac:dyDescent="0.3">
      <c r="A51" s="60" t="s">
        <v>364</v>
      </c>
      <c r="B51" s="61" t="s">
        <v>365</v>
      </c>
      <c r="C51" s="62">
        <v>0</v>
      </c>
      <c r="D51" s="70">
        <v>0</v>
      </c>
      <c r="E51" s="64">
        <f t="shared" si="0"/>
        <v>0</v>
      </c>
      <c r="F51" s="65"/>
      <c r="K51" s="47"/>
    </row>
    <row r="52" spans="1:17" s="48" customFormat="1" ht="15.75" thickBot="1" x14ac:dyDescent="0.3">
      <c r="A52" s="60" t="s">
        <v>366</v>
      </c>
      <c r="B52" s="61" t="s">
        <v>367</v>
      </c>
      <c r="C52" s="62">
        <v>2500000</v>
      </c>
      <c r="D52" s="70">
        <v>0</v>
      </c>
      <c r="E52" s="64">
        <f t="shared" si="0"/>
        <v>2500000</v>
      </c>
      <c r="F52" s="82" t="s">
        <v>331</v>
      </c>
      <c r="I52" s="78"/>
      <c r="K52" s="47"/>
    </row>
    <row r="53" spans="1:17" s="48" customFormat="1" ht="15.75" thickBot="1" x14ac:dyDescent="0.3">
      <c r="A53" s="60" t="s">
        <v>368</v>
      </c>
      <c r="B53" s="61" t="s">
        <v>166</v>
      </c>
      <c r="C53" s="62">
        <v>3995734</v>
      </c>
      <c r="D53" s="70">
        <v>7000000</v>
      </c>
      <c r="E53" s="64">
        <f t="shared" si="0"/>
        <v>10995734</v>
      </c>
      <c r="F53" s="65"/>
      <c r="I53" s="78"/>
      <c r="K53" s="47"/>
    </row>
    <row r="54" spans="1:17" s="48" customFormat="1" ht="15.75" thickBot="1" x14ac:dyDescent="0.3">
      <c r="A54" s="104" t="s">
        <v>369</v>
      </c>
      <c r="B54" s="105" t="s">
        <v>370</v>
      </c>
      <c r="C54" s="106">
        <v>0</v>
      </c>
      <c r="D54" s="107">
        <v>4000000</v>
      </c>
      <c r="E54" s="64">
        <f t="shared" si="0"/>
        <v>4000000</v>
      </c>
      <c r="F54" s="65"/>
      <c r="K54" s="47"/>
      <c r="Q54" s="82" t="s">
        <v>331</v>
      </c>
    </row>
    <row r="55" spans="1:17" s="48" customFormat="1" ht="12" x14ac:dyDescent="0.2">
      <c r="A55" s="60" t="s">
        <v>371</v>
      </c>
      <c r="B55" s="61" t="s">
        <v>372</v>
      </c>
      <c r="C55" s="62">
        <v>900000</v>
      </c>
      <c r="D55" s="70">
        <v>1500000</v>
      </c>
      <c r="E55" s="64">
        <f t="shared" si="0"/>
        <v>2400000</v>
      </c>
      <c r="I55" s="78"/>
      <c r="K55" s="47"/>
    </row>
    <row r="56" spans="1:17" s="48" customFormat="1" x14ac:dyDescent="0.25">
      <c r="A56" s="104" t="s">
        <v>373</v>
      </c>
      <c r="B56" s="105" t="s">
        <v>374</v>
      </c>
      <c r="C56" s="106">
        <v>0</v>
      </c>
      <c r="D56" s="107">
        <v>1000000</v>
      </c>
      <c r="E56" s="64">
        <f t="shared" si="0"/>
        <v>1000000</v>
      </c>
      <c r="F56" s="65"/>
      <c r="K56" s="47"/>
    </row>
    <row r="57" spans="1:17" s="48" customFormat="1" ht="15.75" thickBot="1" x14ac:dyDescent="0.3">
      <c r="A57" s="104" t="s">
        <v>375</v>
      </c>
      <c r="B57" s="105" t="s">
        <v>376</v>
      </c>
      <c r="C57" s="106">
        <v>0</v>
      </c>
      <c r="D57" s="107">
        <v>3000000</v>
      </c>
      <c r="E57" s="64">
        <f t="shared" si="0"/>
        <v>3000000</v>
      </c>
      <c r="F57" s="65"/>
      <c r="K57" s="47"/>
    </row>
    <row r="58" spans="1:17" s="48" customFormat="1" ht="15.75" thickBot="1" x14ac:dyDescent="0.3">
      <c r="A58" s="49" t="s">
        <v>377</v>
      </c>
      <c r="B58" s="100" t="s">
        <v>378</v>
      </c>
      <c r="C58" s="76">
        <f>SUM(C59:C61)</f>
        <v>73176453</v>
      </c>
      <c r="D58" s="51">
        <f>SUM(D59:D61)</f>
        <v>71926453</v>
      </c>
      <c r="E58" s="52">
        <f t="shared" si="0"/>
        <v>145102906</v>
      </c>
      <c r="F58" s="82" t="s">
        <v>331</v>
      </c>
      <c r="K58" s="47"/>
    </row>
    <row r="59" spans="1:17" s="48" customFormat="1" ht="25.5" thickBot="1" x14ac:dyDescent="0.3">
      <c r="A59" s="60" t="s">
        <v>379</v>
      </c>
      <c r="B59" s="61" t="s">
        <v>380</v>
      </c>
      <c r="C59" s="62">
        <v>5250000</v>
      </c>
      <c r="D59" s="70">
        <v>4000000</v>
      </c>
      <c r="E59" s="64">
        <f t="shared" si="0"/>
        <v>9250000</v>
      </c>
      <c r="F59" s="82" t="s">
        <v>331</v>
      </c>
      <c r="I59" s="78"/>
      <c r="K59" s="47"/>
    </row>
    <row r="60" spans="1:17" s="48" customFormat="1" ht="15.75" thickBot="1" x14ac:dyDescent="0.3">
      <c r="A60" s="60" t="s">
        <v>381</v>
      </c>
      <c r="B60" s="61" t="s">
        <v>382</v>
      </c>
      <c r="C60" s="62">
        <v>27956613</v>
      </c>
      <c r="D60" s="70">
        <v>27956613</v>
      </c>
      <c r="E60" s="64">
        <f t="shared" si="0"/>
        <v>55913226</v>
      </c>
      <c r="F60" s="82" t="s">
        <v>331</v>
      </c>
      <c r="I60" s="78"/>
      <c r="K60" s="47"/>
    </row>
    <row r="61" spans="1:17" s="48" customFormat="1" ht="15.75" thickBot="1" x14ac:dyDescent="0.3">
      <c r="A61" s="181" t="s">
        <v>383</v>
      </c>
      <c r="B61" s="182" t="s">
        <v>384</v>
      </c>
      <c r="C61" s="183">
        <v>39969840</v>
      </c>
      <c r="D61" s="184">
        <v>39969840</v>
      </c>
      <c r="E61" s="185">
        <f t="shared" si="0"/>
        <v>79939680</v>
      </c>
      <c r="F61" s="82" t="s">
        <v>331</v>
      </c>
      <c r="I61" s="78"/>
      <c r="K61" s="47"/>
    </row>
    <row r="62" spans="1:17" s="48" customFormat="1" x14ac:dyDescent="0.25">
      <c r="A62" s="49" t="s">
        <v>385</v>
      </c>
      <c r="B62" s="100" t="s">
        <v>386</v>
      </c>
      <c r="C62" s="76">
        <f>SUM(C63:C64)</f>
        <v>0</v>
      </c>
      <c r="D62" s="51">
        <f>SUM(D63:D64)</f>
        <v>0</v>
      </c>
      <c r="E62" s="52">
        <f t="shared" si="0"/>
        <v>0</v>
      </c>
      <c r="F62" s="65"/>
      <c r="K62" s="47"/>
    </row>
    <row r="63" spans="1:17" s="48" customFormat="1" x14ac:dyDescent="0.25">
      <c r="A63" s="60" t="s">
        <v>387</v>
      </c>
      <c r="B63" s="61" t="s">
        <v>388</v>
      </c>
      <c r="C63" s="62">
        <v>0</v>
      </c>
      <c r="D63" s="70">
        <v>0</v>
      </c>
      <c r="E63" s="64">
        <f t="shared" si="0"/>
        <v>0</v>
      </c>
      <c r="F63" s="65"/>
      <c r="K63" s="47"/>
    </row>
    <row r="64" spans="1:17" s="48" customFormat="1" ht="15.75" thickBot="1" x14ac:dyDescent="0.3">
      <c r="A64" s="60" t="s">
        <v>389</v>
      </c>
      <c r="B64" s="61" t="s">
        <v>390</v>
      </c>
      <c r="C64" s="62">
        <v>0</v>
      </c>
      <c r="D64" s="70">
        <v>0</v>
      </c>
      <c r="E64" s="64">
        <f t="shared" si="0"/>
        <v>0</v>
      </c>
      <c r="F64" s="65"/>
      <c r="K64" s="47"/>
    </row>
    <row r="65" spans="1:11" s="101" customFormat="1" ht="15.75" thickBot="1" x14ac:dyDescent="0.3">
      <c r="A65" s="49" t="s">
        <v>391</v>
      </c>
      <c r="B65" s="100" t="s">
        <v>392</v>
      </c>
      <c r="C65" s="76">
        <f>SUM(C66:C68)</f>
        <v>5600000</v>
      </c>
      <c r="D65" s="51">
        <f>D66+D67+D68</f>
        <v>3000000</v>
      </c>
      <c r="E65" s="52">
        <f t="shared" si="0"/>
        <v>8600000</v>
      </c>
      <c r="F65" s="82" t="s">
        <v>331</v>
      </c>
      <c r="K65" s="103"/>
    </row>
    <row r="66" spans="1:11" s="48" customFormat="1" x14ac:dyDescent="0.25">
      <c r="A66" s="60" t="s">
        <v>393</v>
      </c>
      <c r="B66" s="61" t="s">
        <v>394</v>
      </c>
      <c r="C66" s="62">
        <v>4000000</v>
      </c>
      <c r="D66" s="70">
        <v>0</v>
      </c>
      <c r="E66" s="64">
        <f t="shared" si="0"/>
        <v>4000000</v>
      </c>
      <c r="F66" s="65"/>
      <c r="I66" s="78"/>
      <c r="K66" s="47"/>
    </row>
    <row r="67" spans="1:11" s="48" customFormat="1" x14ac:dyDescent="0.25">
      <c r="A67" s="60" t="s">
        <v>395</v>
      </c>
      <c r="B67" s="61" t="s">
        <v>396</v>
      </c>
      <c r="C67" s="62">
        <v>1600000</v>
      </c>
      <c r="D67" s="70">
        <v>0</v>
      </c>
      <c r="E67" s="64">
        <f t="shared" si="0"/>
        <v>1600000</v>
      </c>
      <c r="F67" s="65"/>
      <c r="I67" s="78"/>
      <c r="K67" s="47"/>
    </row>
    <row r="68" spans="1:11" s="48" customFormat="1" x14ac:dyDescent="0.25">
      <c r="A68" s="60" t="s">
        <v>397</v>
      </c>
      <c r="B68" s="61" t="s">
        <v>398</v>
      </c>
      <c r="C68" s="62">
        <v>0</v>
      </c>
      <c r="D68" s="70">
        <v>3000000</v>
      </c>
      <c r="E68" s="64">
        <f t="shared" si="0"/>
        <v>3000000</v>
      </c>
      <c r="F68" s="65"/>
      <c r="K68" s="47"/>
    </row>
    <row r="69" spans="1:11" s="101" customFormat="1" x14ac:dyDescent="0.25">
      <c r="A69" s="54" t="s">
        <v>399</v>
      </c>
      <c r="B69" s="55" t="s">
        <v>400</v>
      </c>
      <c r="C69" s="56">
        <f>SUM(C70:C75)</f>
        <v>77471128</v>
      </c>
      <c r="D69" s="57">
        <f>SUM(D70:D73)</f>
        <v>0</v>
      </c>
      <c r="E69" s="58">
        <f t="shared" si="0"/>
        <v>77471128</v>
      </c>
      <c r="F69" s="59"/>
      <c r="K69" s="103"/>
    </row>
    <row r="70" spans="1:11" s="48" customFormat="1" x14ac:dyDescent="0.25">
      <c r="A70" s="60" t="s">
        <v>401</v>
      </c>
      <c r="B70" s="61" t="s">
        <v>402</v>
      </c>
      <c r="C70" s="62">
        <v>7984968</v>
      </c>
      <c r="D70" s="70">
        <v>0</v>
      </c>
      <c r="E70" s="64">
        <f t="shared" si="0"/>
        <v>7984968</v>
      </c>
      <c r="F70" s="65"/>
      <c r="I70" s="78"/>
      <c r="K70" s="47"/>
    </row>
    <row r="71" spans="1:11" s="48" customFormat="1" x14ac:dyDescent="0.25">
      <c r="A71" s="60" t="s">
        <v>403</v>
      </c>
      <c r="B71" s="61" t="s">
        <v>404</v>
      </c>
      <c r="C71" s="62">
        <v>46291108</v>
      </c>
      <c r="D71" s="70">
        <v>0</v>
      </c>
      <c r="E71" s="64">
        <f t="shared" si="0"/>
        <v>46291108</v>
      </c>
      <c r="F71" s="65"/>
      <c r="I71" s="78"/>
      <c r="K71" s="47"/>
    </row>
    <row r="72" spans="1:11" s="48" customFormat="1" x14ac:dyDescent="0.25">
      <c r="A72" s="60" t="s">
        <v>405</v>
      </c>
      <c r="B72" s="61" t="s">
        <v>406</v>
      </c>
      <c r="C72" s="62">
        <v>0</v>
      </c>
      <c r="D72" s="70">
        <v>0</v>
      </c>
      <c r="E72" s="64">
        <f t="shared" si="0"/>
        <v>0</v>
      </c>
      <c r="F72" s="65"/>
      <c r="K72" s="47"/>
    </row>
    <row r="73" spans="1:11" s="48" customFormat="1" ht="15.75" thickBot="1" x14ac:dyDescent="0.3">
      <c r="A73" s="60" t="s">
        <v>407</v>
      </c>
      <c r="B73" s="61" t="s">
        <v>408</v>
      </c>
      <c r="C73" s="62">
        <v>23195052</v>
      </c>
      <c r="D73" s="70">
        <v>0</v>
      </c>
      <c r="E73" s="64">
        <f t="shared" si="0"/>
        <v>23195052</v>
      </c>
      <c r="F73" s="65"/>
      <c r="I73" s="78"/>
      <c r="K73" s="47"/>
    </row>
    <row r="74" spans="1:11" s="101" customFormat="1" ht="15.75" thickBot="1" x14ac:dyDescent="0.3">
      <c r="A74" s="49" t="s">
        <v>409</v>
      </c>
      <c r="B74" s="100" t="s">
        <v>249</v>
      </c>
      <c r="C74" s="51">
        <f>SUM(C75)</f>
        <v>0</v>
      </c>
      <c r="D74" s="51">
        <f>SUM(D75)</f>
        <v>17500000</v>
      </c>
      <c r="E74" s="52">
        <f t="shared" si="0"/>
        <v>17500000</v>
      </c>
      <c r="F74" s="82" t="s">
        <v>331</v>
      </c>
      <c r="K74" s="103"/>
    </row>
    <row r="75" spans="1:11" s="48" customFormat="1" ht="15.75" thickBot="1" x14ac:dyDescent="0.3">
      <c r="A75" s="60" t="s">
        <v>410</v>
      </c>
      <c r="B75" s="61" t="s">
        <v>411</v>
      </c>
      <c r="C75" s="62">
        <v>0</v>
      </c>
      <c r="D75" s="70">
        <v>17500000</v>
      </c>
      <c r="E75" s="64">
        <f t="shared" ref="E75:E92" si="1">+C75+D75</f>
        <v>17500000</v>
      </c>
      <c r="F75" s="65"/>
      <c r="K75" s="47"/>
    </row>
    <row r="76" spans="1:11" s="101" customFormat="1" ht="15.75" thickBot="1" x14ac:dyDescent="0.3">
      <c r="A76" s="49" t="s">
        <v>412</v>
      </c>
      <c r="B76" s="100" t="s">
        <v>413</v>
      </c>
      <c r="C76" s="76">
        <f>+C77</f>
        <v>0</v>
      </c>
      <c r="D76" s="51">
        <f>+D77</f>
        <v>29415475</v>
      </c>
      <c r="E76" s="64">
        <f t="shared" si="1"/>
        <v>29415475</v>
      </c>
      <c r="F76" s="82" t="s">
        <v>331</v>
      </c>
      <c r="K76" s="103"/>
    </row>
    <row r="77" spans="1:11" s="48" customFormat="1" x14ac:dyDescent="0.25">
      <c r="A77" s="60" t="s">
        <v>414</v>
      </c>
      <c r="B77" s="61" t="s">
        <v>415</v>
      </c>
      <c r="C77" s="62">
        <v>0</v>
      </c>
      <c r="D77" s="70">
        <v>29415475</v>
      </c>
      <c r="E77" s="64">
        <f t="shared" si="1"/>
        <v>29415475</v>
      </c>
      <c r="F77" s="65"/>
      <c r="K77" s="47"/>
    </row>
    <row r="78" spans="1:11" s="101" customFormat="1" ht="15.75" thickBot="1" x14ac:dyDescent="0.3">
      <c r="A78" s="49" t="s">
        <v>416</v>
      </c>
      <c r="B78" s="100" t="s">
        <v>417</v>
      </c>
      <c r="C78" s="76">
        <f>SUM(C79)</f>
        <v>12000000</v>
      </c>
      <c r="D78" s="51">
        <f>+D79</f>
        <v>20000000</v>
      </c>
      <c r="E78" s="52">
        <f t="shared" si="1"/>
        <v>32000000</v>
      </c>
      <c r="F78" s="65"/>
      <c r="K78" s="103"/>
    </row>
    <row r="79" spans="1:11" s="48" customFormat="1" ht="15.75" thickBot="1" x14ac:dyDescent="0.3">
      <c r="A79" s="108" t="s">
        <v>418</v>
      </c>
      <c r="B79" s="66" t="s">
        <v>419</v>
      </c>
      <c r="C79" s="63">
        <v>12000000</v>
      </c>
      <c r="D79" s="70">
        <v>20000000</v>
      </c>
      <c r="E79" s="64">
        <f t="shared" si="1"/>
        <v>32000000</v>
      </c>
      <c r="F79" s="82" t="s">
        <v>331</v>
      </c>
      <c r="H79" s="78"/>
      <c r="I79" s="78"/>
      <c r="K79" s="47"/>
    </row>
    <row r="80" spans="1:11" s="101" customFormat="1" ht="15.75" thickBot="1" x14ac:dyDescent="0.3">
      <c r="A80" s="49" t="s">
        <v>420</v>
      </c>
      <c r="B80" s="100" t="s">
        <v>254</v>
      </c>
      <c r="C80" s="51">
        <f>SUM(C81:C82)</f>
        <v>0</v>
      </c>
      <c r="D80" s="51">
        <f>SUM(D81:D82)</f>
        <v>20000000</v>
      </c>
      <c r="E80" s="52">
        <f t="shared" si="1"/>
        <v>20000000</v>
      </c>
      <c r="F80" s="82" t="s">
        <v>331</v>
      </c>
      <c r="K80" s="103"/>
    </row>
    <row r="81" spans="1:11" s="48" customFormat="1" x14ac:dyDescent="0.25">
      <c r="A81" s="60" t="s">
        <v>421</v>
      </c>
      <c r="B81" s="61" t="s">
        <v>422</v>
      </c>
      <c r="C81" s="62">
        <v>0</v>
      </c>
      <c r="D81" s="70">
        <v>10000000</v>
      </c>
      <c r="E81" s="64">
        <f t="shared" si="1"/>
        <v>10000000</v>
      </c>
      <c r="F81" s="65"/>
      <c r="K81" s="47"/>
    </row>
    <row r="82" spans="1:11" s="48" customFormat="1" x14ac:dyDescent="0.25">
      <c r="A82" s="60" t="s">
        <v>423</v>
      </c>
      <c r="B82" s="61" t="s">
        <v>424</v>
      </c>
      <c r="C82" s="62"/>
      <c r="D82" s="70">
        <v>10000000</v>
      </c>
      <c r="E82" s="64">
        <f t="shared" si="1"/>
        <v>10000000</v>
      </c>
      <c r="F82" s="65"/>
      <c r="K82" s="47"/>
    </row>
    <row r="83" spans="1:11" s="48" customFormat="1" ht="15" customHeight="1" x14ac:dyDescent="0.25">
      <c r="A83" s="54" t="s">
        <v>425</v>
      </c>
      <c r="B83" s="55" t="s">
        <v>426</v>
      </c>
      <c r="C83" s="56">
        <f>+C84+C87+C90</f>
        <v>8175192</v>
      </c>
      <c r="D83" s="69">
        <f>+D84+D87+D90</f>
        <v>59942053</v>
      </c>
      <c r="E83" s="58">
        <f t="shared" si="1"/>
        <v>68117245</v>
      </c>
      <c r="F83" s="59"/>
      <c r="K83" s="47"/>
    </row>
    <row r="84" spans="1:11" s="48" customFormat="1" x14ac:dyDescent="0.25">
      <c r="A84" s="49" t="s">
        <v>427</v>
      </c>
      <c r="B84" s="100" t="s">
        <v>428</v>
      </c>
      <c r="C84" s="76">
        <f>+C85</f>
        <v>8175192</v>
      </c>
      <c r="D84" s="77">
        <f>+D85</f>
        <v>0</v>
      </c>
      <c r="E84" s="52">
        <f t="shared" si="1"/>
        <v>8175192</v>
      </c>
      <c r="F84" s="65"/>
      <c r="K84" s="47"/>
    </row>
    <row r="85" spans="1:11" s="48" customFormat="1" x14ac:dyDescent="0.25">
      <c r="A85" s="49" t="s">
        <v>429</v>
      </c>
      <c r="B85" s="100" t="s">
        <v>430</v>
      </c>
      <c r="C85" s="76">
        <f>+C86</f>
        <v>8175192</v>
      </c>
      <c r="D85" s="77">
        <f>+D86</f>
        <v>0</v>
      </c>
      <c r="E85" s="52">
        <f t="shared" si="1"/>
        <v>8175192</v>
      </c>
      <c r="F85" s="65"/>
      <c r="K85" s="47"/>
    </row>
    <row r="86" spans="1:11" s="48" customFormat="1" x14ac:dyDescent="0.25">
      <c r="A86" s="60" t="s">
        <v>431</v>
      </c>
      <c r="B86" s="61" t="s">
        <v>432</v>
      </c>
      <c r="C86" s="62">
        <v>8175192</v>
      </c>
      <c r="D86" s="70">
        <v>0</v>
      </c>
      <c r="E86" s="64">
        <f t="shared" si="1"/>
        <v>8175192</v>
      </c>
      <c r="F86" s="65"/>
      <c r="K86" s="47"/>
    </row>
    <row r="87" spans="1:11" s="48" customFormat="1" x14ac:dyDescent="0.25">
      <c r="A87" s="109" t="s">
        <v>433</v>
      </c>
      <c r="B87" s="110" t="s">
        <v>434</v>
      </c>
      <c r="C87" s="76">
        <f>+C88</f>
        <v>0</v>
      </c>
      <c r="D87" s="77">
        <f>+D88</f>
        <v>52317053</v>
      </c>
      <c r="E87" s="52">
        <f t="shared" si="1"/>
        <v>52317053</v>
      </c>
      <c r="F87" s="65"/>
      <c r="K87" s="47"/>
    </row>
    <row r="88" spans="1:11" s="48" customFormat="1" ht="31.5" customHeight="1" thickBot="1" x14ac:dyDescent="0.3">
      <c r="A88" s="109" t="s">
        <v>435</v>
      </c>
      <c r="B88" s="110" t="s">
        <v>436</v>
      </c>
      <c r="C88" s="76">
        <f>+C89</f>
        <v>0</v>
      </c>
      <c r="D88" s="77">
        <f>+D89</f>
        <v>52317053</v>
      </c>
      <c r="E88" s="52">
        <f t="shared" si="1"/>
        <v>52317053</v>
      </c>
      <c r="F88" s="65"/>
      <c r="K88" s="47"/>
    </row>
    <row r="89" spans="1:11" s="48" customFormat="1" ht="15.75" thickBot="1" x14ac:dyDescent="0.3">
      <c r="A89" s="111" t="s">
        <v>437</v>
      </c>
      <c r="B89" s="112" t="s">
        <v>438</v>
      </c>
      <c r="C89" s="113">
        <v>0</v>
      </c>
      <c r="D89" s="198">
        <v>52317053</v>
      </c>
      <c r="E89" s="114">
        <f t="shared" si="1"/>
        <v>52317053</v>
      </c>
      <c r="F89" s="82" t="s">
        <v>331</v>
      </c>
      <c r="K89" s="47"/>
    </row>
    <row r="90" spans="1:11" s="48" customFormat="1" x14ac:dyDescent="0.25">
      <c r="A90" s="109" t="s">
        <v>439</v>
      </c>
      <c r="B90" s="110" t="s">
        <v>440</v>
      </c>
      <c r="C90" s="76">
        <f>+C91</f>
        <v>0</v>
      </c>
      <c r="D90" s="77">
        <f>+D91</f>
        <v>7625000</v>
      </c>
      <c r="E90" s="52">
        <f t="shared" si="1"/>
        <v>7625000</v>
      </c>
      <c r="F90" s="65"/>
      <c r="K90" s="47"/>
    </row>
    <row r="91" spans="1:11" s="48" customFormat="1" x14ac:dyDescent="0.25">
      <c r="A91" s="109" t="s">
        <v>441</v>
      </c>
      <c r="B91" s="110" t="s">
        <v>442</v>
      </c>
      <c r="C91" s="76">
        <f>+C92</f>
        <v>0</v>
      </c>
      <c r="D91" s="77">
        <f>+D92</f>
        <v>7625000</v>
      </c>
      <c r="E91" s="52">
        <f t="shared" si="1"/>
        <v>7625000</v>
      </c>
      <c r="F91" s="65"/>
      <c r="K91" s="47"/>
    </row>
    <row r="92" spans="1:11" s="48" customFormat="1" x14ac:dyDescent="0.25">
      <c r="A92" s="115" t="s">
        <v>443</v>
      </c>
      <c r="B92" s="116" t="s">
        <v>444</v>
      </c>
      <c r="C92" s="117">
        <v>0</v>
      </c>
      <c r="D92" s="118">
        <v>7625000</v>
      </c>
      <c r="E92" s="119">
        <f t="shared" si="1"/>
        <v>7625000</v>
      </c>
      <c r="F92" s="65"/>
      <c r="K92" s="47"/>
    </row>
    <row r="93" spans="1:11" s="48" customFormat="1" x14ac:dyDescent="0.25">
      <c r="A93" s="120"/>
      <c r="B93" s="121"/>
      <c r="C93" s="122"/>
      <c r="D93" s="123"/>
      <c r="E93" s="124"/>
      <c r="F93" s="65"/>
      <c r="K93" s="47"/>
    </row>
    <row r="94" spans="1:11" s="48" customFormat="1" x14ac:dyDescent="0.25">
      <c r="A94" s="120"/>
      <c r="B94" s="121"/>
      <c r="C94" s="122"/>
      <c r="D94" s="123"/>
      <c r="E94" s="124"/>
      <c r="F94" s="65"/>
      <c r="K94" s="47"/>
    </row>
    <row r="95" spans="1:11" s="48" customFormat="1" ht="15.75" thickBot="1" x14ac:dyDescent="0.3">
      <c r="A95" s="120"/>
      <c r="B95" s="121"/>
      <c r="C95" s="122"/>
      <c r="D95" s="123"/>
      <c r="E95" s="124"/>
      <c r="F95" s="65"/>
      <c r="K95" s="47"/>
    </row>
    <row r="96" spans="1:11" s="48" customFormat="1" ht="16.5" customHeight="1" thickBot="1" x14ac:dyDescent="0.3">
      <c r="A96" s="125" t="s">
        <v>445</v>
      </c>
      <c r="B96" s="126" t="s">
        <v>446</v>
      </c>
      <c r="C96" s="127">
        <f>+C97+C101+C104+C107+C114+C111+C117+C120</f>
        <v>3726419167</v>
      </c>
      <c r="D96" s="128">
        <f>+D97+D101+D104+D107+D114+D111+D117</f>
        <v>293601100</v>
      </c>
      <c r="E96" s="129">
        <f t="shared" ref="E96:E125" si="2">+C96+D96</f>
        <v>4020020267</v>
      </c>
      <c r="F96" s="82" t="s">
        <v>331</v>
      </c>
      <c r="G96" s="78">
        <f>+E96</f>
        <v>4020020267</v>
      </c>
      <c r="H96" s="78"/>
      <c r="K96" s="47"/>
    </row>
    <row r="97" spans="1:11" s="48" customFormat="1" ht="24.75" x14ac:dyDescent="0.25">
      <c r="A97" s="130" t="s">
        <v>447</v>
      </c>
      <c r="B97" s="131" t="s">
        <v>448</v>
      </c>
      <c r="C97" s="132">
        <f>+C98</f>
        <v>3089619167</v>
      </c>
      <c r="D97" s="133">
        <f>+D98</f>
        <v>10000000</v>
      </c>
      <c r="E97" s="134">
        <f t="shared" si="2"/>
        <v>3099619167</v>
      </c>
      <c r="F97" s="97"/>
      <c r="K97" s="47"/>
    </row>
    <row r="98" spans="1:11" s="48" customFormat="1" x14ac:dyDescent="0.25">
      <c r="A98" s="93" t="s">
        <v>449</v>
      </c>
      <c r="B98" s="94" t="s">
        <v>450</v>
      </c>
      <c r="C98" s="135">
        <f>+C99+C100</f>
        <v>3089619167</v>
      </c>
      <c r="D98" s="136">
        <f>+D99</f>
        <v>10000000</v>
      </c>
      <c r="E98" s="96">
        <f t="shared" si="2"/>
        <v>3099619167</v>
      </c>
      <c r="F98" s="97"/>
      <c r="K98" s="47"/>
    </row>
    <row r="99" spans="1:11" s="48" customFormat="1" ht="24.75" x14ac:dyDescent="0.25">
      <c r="A99" s="137" t="s">
        <v>451</v>
      </c>
      <c r="B99" s="138" t="s">
        <v>452</v>
      </c>
      <c r="C99" s="139">
        <v>60000000</v>
      </c>
      <c r="D99" s="140">
        <v>10000000</v>
      </c>
      <c r="E99" s="141">
        <f t="shared" si="2"/>
        <v>70000000</v>
      </c>
      <c r="F99" s="97"/>
      <c r="K99" s="47"/>
    </row>
    <row r="100" spans="1:11" s="48" customFormat="1" ht="24.75" x14ac:dyDescent="0.25">
      <c r="A100" s="137" t="s">
        <v>451</v>
      </c>
      <c r="B100" s="138" t="s">
        <v>452</v>
      </c>
      <c r="C100" s="139">
        <v>3029619167</v>
      </c>
      <c r="D100" s="140">
        <v>0</v>
      </c>
      <c r="E100" s="141">
        <f t="shared" si="2"/>
        <v>3029619167</v>
      </c>
      <c r="F100" s="97"/>
      <c r="K100" s="47"/>
    </row>
    <row r="101" spans="1:11" s="48" customFormat="1" ht="24.75" x14ac:dyDescent="0.25">
      <c r="A101" s="130" t="s">
        <v>453</v>
      </c>
      <c r="B101" s="131" t="s">
        <v>454</v>
      </c>
      <c r="C101" s="135">
        <f>+C102</f>
        <v>40000000</v>
      </c>
      <c r="D101" s="136">
        <f>+D102</f>
        <v>20000000</v>
      </c>
      <c r="E101" s="96">
        <f t="shared" si="2"/>
        <v>60000000</v>
      </c>
      <c r="F101" s="97"/>
      <c r="K101" s="47"/>
    </row>
    <row r="102" spans="1:11" s="48" customFormat="1" x14ac:dyDescent="0.25">
      <c r="A102" s="93" t="s">
        <v>455</v>
      </c>
      <c r="B102" s="94" t="s">
        <v>450</v>
      </c>
      <c r="C102" s="135">
        <f>+C103</f>
        <v>40000000</v>
      </c>
      <c r="D102" s="136">
        <f>+D103</f>
        <v>20000000</v>
      </c>
      <c r="E102" s="96">
        <f t="shared" si="2"/>
        <v>60000000</v>
      </c>
      <c r="F102" s="97"/>
      <c r="K102" s="47"/>
    </row>
    <row r="103" spans="1:11" s="48" customFormat="1" ht="36.75" x14ac:dyDescent="0.25">
      <c r="A103" s="137" t="s">
        <v>456</v>
      </c>
      <c r="B103" s="138" t="s">
        <v>457</v>
      </c>
      <c r="C103" s="139">
        <v>40000000</v>
      </c>
      <c r="D103" s="140">
        <v>20000000</v>
      </c>
      <c r="E103" s="141">
        <f t="shared" si="2"/>
        <v>60000000</v>
      </c>
      <c r="F103" s="97"/>
      <c r="K103" s="47"/>
    </row>
    <row r="104" spans="1:11" s="48" customFormat="1" ht="28.5" customHeight="1" x14ac:dyDescent="0.25">
      <c r="A104" s="93" t="s">
        <v>458</v>
      </c>
      <c r="B104" s="94" t="s">
        <v>459</v>
      </c>
      <c r="C104" s="135">
        <f>+C105</f>
        <v>110000000</v>
      </c>
      <c r="D104" s="136">
        <f>+D105</f>
        <v>50000000</v>
      </c>
      <c r="E104" s="96">
        <f t="shared" si="2"/>
        <v>160000000</v>
      </c>
      <c r="F104" s="97"/>
      <c r="K104" s="47"/>
    </row>
    <row r="105" spans="1:11" s="48" customFormat="1" x14ac:dyDescent="0.25">
      <c r="A105" s="93" t="s">
        <v>460</v>
      </c>
      <c r="B105" s="94" t="s">
        <v>450</v>
      </c>
      <c r="C105" s="135">
        <f>+C106</f>
        <v>110000000</v>
      </c>
      <c r="D105" s="136">
        <f>+D106</f>
        <v>50000000</v>
      </c>
      <c r="E105" s="96">
        <f t="shared" si="2"/>
        <v>160000000</v>
      </c>
      <c r="F105" s="97"/>
      <c r="K105" s="47"/>
    </row>
    <row r="106" spans="1:11" s="48" customFormat="1" ht="36.75" x14ac:dyDescent="0.25">
      <c r="A106" s="137" t="s">
        <v>461</v>
      </c>
      <c r="B106" s="138" t="s">
        <v>462</v>
      </c>
      <c r="C106" s="139">
        <v>110000000</v>
      </c>
      <c r="D106" s="140">
        <v>50000000</v>
      </c>
      <c r="E106" s="141">
        <f t="shared" si="2"/>
        <v>160000000</v>
      </c>
      <c r="F106" s="97"/>
      <c r="K106" s="47"/>
    </row>
    <row r="107" spans="1:11" s="48" customFormat="1" ht="27" customHeight="1" x14ac:dyDescent="0.25">
      <c r="A107" s="93" t="s">
        <v>463</v>
      </c>
      <c r="B107" s="94" t="s">
        <v>464</v>
      </c>
      <c r="C107" s="135">
        <f>+C108</f>
        <v>226000000</v>
      </c>
      <c r="D107" s="136">
        <f>+D108</f>
        <v>80000000</v>
      </c>
      <c r="E107" s="96">
        <f t="shared" si="2"/>
        <v>306000000</v>
      </c>
      <c r="F107" s="97"/>
      <c r="K107" s="47"/>
    </row>
    <row r="108" spans="1:11" s="48" customFormat="1" x14ac:dyDescent="0.25">
      <c r="A108" s="93" t="s">
        <v>465</v>
      </c>
      <c r="B108" s="94" t="s">
        <v>450</v>
      </c>
      <c r="C108" s="135">
        <f>SUM(C109:C110)</f>
        <v>226000000</v>
      </c>
      <c r="D108" s="136">
        <f>SUM(D109:D110)</f>
        <v>80000000</v>
      </c>
      <c r="E108" s="96">
        <f t="shared" si="2"/>
        <v>306000000</v>
      </c>
      <c r="F108" s="97"/>
      <c r="K108" s="47"/>
    </row>
    <row r="109" spans="1:11" s="48" customFormat="1" ht="48.75" x14ac:dyDescent="0.25">
      <c r="A109" s="137" t="s">
        <v>466</v>
      </c>
      <c r="B109" s="138" t="s">
        <v>467</v>
      </c>
      <c r="C109" s="139">
        <v>150000000</v>
      </c>
      <c r="D109" s="140">
        <v>50000000</v>
      </c>
      <c r="E109" s="141">
        <f t="shared" si="2"/>
        <v>200000000</v>
      </c>
      <c r="F109" s="97"/>
      <c r="K109" s="47"/>
    </row>
    <row r="110" spans="1:11" s="48" customFormat="1" ht="24.75" x14ac:dyDescent="0.25">
      <c r="A110" s="137" t="s">
        <v>468</v>
      </c>
      <c r="B110" s="138" t="s">
        <v>469</v>
      </c>
      <c r="C110" s="139">
        <v>76000000</v>
      </c>
      <c r="D110" s="140">
        <v>30000000</v>
      </c>
      <c r="E110" s="141">
        <f t="shared" si="2"/>
        <v>106000000</v>
      </c>
      <c r="F110" s="97"/>
      <c r="K110" s="47"/>
    </row>
    <row r="111" spans="1:11" s="48" customFormat="1" ht="24.75" customHeight="1" x14ac:dyDescent="0.25">
      <c r="A111" s="93" t="s">
        <v>470</v>
      </c>
      <c r="B111" s="94" t="s">
        <v>471</v>
      </c>
      <c r="C111" s="135">
        <f>+C112</f>
        <v>110000000</v>
      </c>
      <c r="D111" s="136">
        <f>+D112</f>
        <v>44000000</v>
      </c>
      <c r="E111" s="96">
        <f t="shared" si="2"/>
        <v>154000000</v>
      </c>
      <c r="F111" s="97"/>
      <c r="K111" s="47"/>
    </row>
    <row r="112" spans="1:11" s="48" customFormat="1" x14ac:dyDescent="0.25">
      <c r="A112" s="93" t="s">
        <v>472</v>
      </c>
      <c r="B112" s="94" t="s">
        <v>450</v>
      </c>
      <c r="C112" s="135">
        <f>+C113</f>
        <v>110000000</v>
      </c>
      <c r="D112" s="136">
        <f>+D113</f>
        <v>44000000</v>
      </c>
      <c r="E112" s="96">
        <f t="shared" si="2"/>
        <v>154000000</v>
      </c>
      <c r="F112" s="97"/>
      <c r="K112" s="47"/>
    </row>
    <row r="113" spans="1:16" s="48" customFormat="1" ht="36.75" x14ac:dyDescent="0.25">
      <c r="A113" s="137" t="s">
        <v>473</v>
      </c>
      <c r="B113" s="138" t="s">
        <v>474</v>
      </c>
      <c r="C113" s="139">
        <v>110000000</v>
      </c>
      <c r="D113" s="140">
        <v>44000000</v>
      </c>
      <c r="E113" s="141">
        <f t="shared" si="2"/>
        <v>154000000</v>
      </c>
      <c r="F113" s="97"/>
      <c r="K113" s="47"/>
    </row>
    <row r="114" spans="1:16" s="48" customFormat="1" ht="24.75" x14ac:dyDescent="0.25">
      <c r="A114" s="142" t="s">
        <v>475</v>
      </c>
      <c r="B114" s="94" t="s">
        <v>476</v>
      </c>
      <c r="C114" s="135">
        <f>+C115</f>
        <v>50800000</v>
      </c>
      <c r="D114" s="136">
        <f>+D115</f>
        <v>20000000</v>
      </c>
      <c r="E114" s="96">
        <f t="shared" si="2"/>
        <v>70800000</v>
      </c>
      <c r="F114" s="97"/>
      <c r="K114" s="47"/>
    </row>
    <row r="115" spans="1:16" s="48" customFormat="1" x14ac:dyDescent="0.25">
      <c r="A115" s="142" t="s">
        <v>477</v>
      </c>
      <c r="B115" s="94" t="s">
        <v>450</v>
      </c>
      <c r="C115" s="95">
        <f>+C116</f>
        <v>50800000</v>
      </c>
      <c r="D115" s="95">
        <f>+D116</f>
        <v>20000000</v>
      </c>
      <c r="E115" s="96">
        <f t="shared" si="2"/>
        <v>70800000</v>
      </c>
      <c r="F115" s="97"/>
      <c r="K115" s="47"/>
    </row>
    <row r="116" spans="1:16" s="48" customFormat="1" ht="36.75" x14ac:dyDescent="0.25">
      <c r="A116" s="143" t="s">
        <v>478</v>
      </c>
      <c r="B116" s="138" t="s">
        <v>479</v>
      </c>
      <c r="C116" s="139">
        <v>50800000</v>
      </c>
      <c r="D116" s="140">
        <v>20000000</v>
      </c>
      <c r="E116" s="141">
        <f t="shared" si="2"/>
        <v>70800000</v>
      </c>
      <c r="F116" s="97"/>
      <c r="K116" s="47"/>
    </row>
    <row r="117" spans="1:16" s="48" customFormat="1" x14ac:dyDescent="0.25">
      <c r="A117" s="142" t="s">
        <v>480</v>
      </c>
      <c r="B117" s="144" t="s">
        <v>481</v>
      </c>
      <c r="C117" s="145">
        <f>+C118</f>
        <v>50000000</v>
      </c>
      <c r="D117" s="146">
        <f>+D118</f>
        <v>69601100</v>
      </c>
      <c r="E117" s="147">
        <f t="shared" si="2"/>
        <v>119601100</v>
      </c>
      <c r="F117" s="97"/>
      <c r="K117" s="47"/>
    </row>
    <row r="118" spans="1:16" s="48" customFormat="1" x14ac:dyDescent="0.25">
      <c r="A118" s="142" t="s">
        <v>482</v>
      </c>
      <c r="B118" s="94" t="s">
        <v>450</v>
      </c>
      <c r="C118" s="145">
        <f>+C119</f>
        <v>50000000</v>
      </c>
      <c r="D118" s="146">
        <f>+D119+D120+D121+D122+D123+D124</f>
        <v>69601100</v>
      </c>
      <c r="E118" s="147">
        <f t="shared" si="2"/>
        <v>119601100</v>
      </c>
      <c r="F118" s="97"/>
      <c r="K118" s="47"/>
    </row>
    <row r="119" spans="1:16" s="48" customFormat="1" ht="36.75" x14ac:dyDescent="0.25">
      <c r="A119" s="143" t="s">
        <v>483</v>
      </c>
      <c r="B119" s="148" t="s">
        <v>484</v>
      </c>
      <c r="C119" s="149">
        <v>50000000</v>
      </c>
      <c r="D119" s="150">
        <v>0</v>
      </c>
      <c r="E119" s="151">
        <f t="shared" si="2"/>
        <v>50000000</v>
      </c>
      <c r="F119" s="97"/>
      <c r="K119" s="47"/>
    </row>
    <row r="120" spans="1:16" s="48" customFormat="1" ht="12" customHeight="1" x14ac:dyDescent="0.25">
      <c r="A120" s="142" t="s">
        <v>485</v>
      </c>
      <c r="B120" s="144" t="s">
        <v>486</v>
      </c>
      <c r="C120" s="145">
        <f>+C121</f>
        <v>50000000</v>
      </c>
      <c r="D120" s="146">
        <f>+D121</f>
        <v>0</v>
      </c>
      <c r="E120" s="147">
        <f t="shared" si="2"/>
        <v>50000000</v>
      </c>
      <c r="F120" s="97"/>
      <c r="I120" s="152"/>
      <c r="J120" s="229"/>
      <c r="K120" s="230"/>
      <c r="L120" s="230"/>
      <c r="M120" s="152"/>
      <c r="N120" s="152"/>
      <c r="O120" s="152"/>
      <c r="P120" s="153"/>
    </row>
    <row r="121" spans="1:16" s="48" customFormat="1" ht="16.5" customHeight="1" x14ac:dyDescent="0.25">
      <c r="A121" s="142" t="s">
        <v>487</v>
      </c>
      <c r="B121" s="94" t="s">
        <v>450</v>
      </c>
      <c r="C121" s="145">
        <f>+C122</f>
        <v>50000000</v>
      </c>
      <c r="D121" s="146">
        <f>+D122</f>
        <v>0</v>
      </c>
      <c r="E121" s="147">
        <f t="shared" si="2"/>
        <v>50000000</v>
      </c>
      <c r="F121" s="97"/>
      <c r="I121" s="152"/>
      <c r="J121" s="229"/>
      <c r="K121" s="230"/>
      <c r="L121" s="230"/>
      <c r="M121" s="152"/>
      <c r="N121" s="152"/>
      <c r="O121" s="152"/>
      <c r="P121" s="153"/>
    </row>
    <row r="122" spans="1:16" s="48" customFormat="1" ht="36.75" x14ac:dyDescent="0.25">
      <c r="A122" s="143" t="s">
        <v>488</v>
      </c>
      <c r="B122" s="148" t="s">
        <v>489</v>
      </c>
      <c r="C122" s="149">
        <v>50000000</v>
      </c>
      <c r="D122" s="150">
        <v>0</v>
      </c>
      <c r="E122" s="151">
        <f t="shared" si="2"/>
        <v>50000000</v>
      </c>
      <c r="F122" s="97"/>
      <c r="I122" s="152"/>
      <c r="J122" s="229"/>
      <c r="K122" s="230"/>
      <c r="L122" s="230"/>
      <c r="M122" s="152"/>
      <c r="N122" s="152"/>
      <c r="O122" s="152"/>
      <c r="P122" s="153"/>
    </row>
    <row r="123" spans="1:16" s="48" customFormat="1" ht="36.75" x14ac:dyDescent="0.25">
      <c r="A123" s="143"/>
      <c r="B123" s="148" t="s">
        <v>489</v>
      </c>
      <c r="C123" s="149"/>
      <c r="D123" s="150">
        <v>2501100</v>
      </c>
      <c r="E123" s="151">
        <f t="shared" si="2"/>
        <v>2501100</v>
      </c>
      <c r="F123" s="97"/>
      <c r="K123" s="47"/>
    </row>
    <row r="124" spans="1:16" s="48" customFormat="1" ht="36.75" x14ac:dyDescent="0.25">
      <c r="A124" s="143"/>
      <c r="B124" s="148" t="s">
        <v>489</v>
      </c>
      <c r="C124" s="149"/>
      <c r="D124" s="150">
        <v>67100000</v>
      </c>
      <c r="E124" s="151">
        <f t="shared" si="2"/>
        <v>67100000</v>
      </c>
      <c r="F124" s="97"/>
      <c r="G124" s="47">
        <f>6343107275*2/100</f>
        <v>126862145.5</v>
      </c>
      <c r="K124" s="47"/>
    </row>
    <row r="125" spans="1:16" ht="15.75" thickBot="1" x14ac:dyDescent="0.3">
      <c r="A125" s="154"/>
      <c r="B125" s="155" t="s">
        <v>490</v>
      </c>
      <c r="C125" s="156">
        <f>+C11+C45+C83+C96</f>
        <v>6343107275</v>
      </c>
      <c r="D125" s="157">
        <f>+D11+D45+D83+D96</f>
        <v>915051270</v>
      </c>
      <c r="E125" s="158">
        <f t="shared" si="2"/>
        <v>7258158545</v>
      </c>
      <c r="F125" s="65"/>
      <c r="G125" s="159">
        <f>915051270*0.02</f>
        <v>18301025.400000002</v>
      </c>
      <c r="H125" s="21"/>
      <c r="I125" s="21"/>
      <c r="J125" s="21"/>
      <c r="K125" s="22"/>
      <c r="L125" s="21"/>
      <c r="M125" s="21"/>
      <c r="N125" s="21"/>
      <c r="O125" s="21"/>
      <c r="P125" s="21"/>
    </row>
    <row r="126" spans="1:16" x14ac:dyDescent="0.25">
      <c r="A126" s="160"/>
      <c r="B126" s="161"/>
      <c r="C126" s="161"/>
      <c r="D126" s="162"/>
      <c r="E126" s="163"/>
      <c r="F126" s="27"/>
      <c r="G126" s="21"/>
      <c r="H126" s="21"/>
      <c r="I126" s="21"/>
      <c r="J126" s="21"/>
      <c r="K126" s="22"/>
      <c r="L126" s="21"/>
      <c r="M126" s="21"/>
      <c r="N126" s="21"/>
      <c r="O126" s="21"/>
      <c r="P126" s="21"/>
    </row>
    <row r="127" spans="1:16" x14ac:dyDescent="0.25">
      <c r="A127" s="164"/>
      <c r="B127" s="165"/>
      <c r="C127" s="165"/>
      <c r="D127" s="166"/>
      <c r="E127" s="163"/>
      <c r="F127" s="27"/>
      <c r="G127" s="21"/>
      <c r="H127" s="21"/>
      <c r="I127" s="21"/>
      <c r="J127" s="21"/>
      <c r="K127" s="22"/>
      <c r="L127" s="21"/>
      <c r="M127" s="21"/>
      <c r="N127" s="21"/>
      <c r="O127" s="21"/>
      <c r="P127" s="21"/>
    </row>
    <row r="128" spans="1:16" x14ac:dyDescent="0.25">
      <c r="A128" s="167" t="s">
        <v>491</v>
      </c>
      <c r="B128" s="165"/>
      <c r="C128" s="166" t="s">
        <v>492</v>
      </c>
      <c r="D128" s="168"/>
      <c r="E128" s="163"/>
      <c r="F128" s="27"/>
      <c r="G128" s="21"/>
      <c r="H128" s="21" t="s">
        <v>531</v>
      </c>
      <c r="I128" s="21"/>
      <c r="J128" s="21"/>
      <c r="K128" s="22"/>
      <c r="L128" s="21"/>
      <c r="M128" s="21"/>
      <c r="N128" s="21"/>
      <c r="O128" s="21"/>
      <c r="P128" s="21"/>
    </row>
    <row r="129" spans="1:8" ht="15.75" thickBot="1" x14ac:dyDescent="0.3">
      <c r="A129" s="169" t="s">
        <v>493</v>
      </c>
      <c r="B129" s="170"/>
      <c r="C129" s="171" t="s">
        <v>494</v>
      </c>
      <c r="D129" s="172"/>
      <c r="E129" s="173"/>
      <c r="F129" s="27"/>
      <c r="G129" s="21"/>
      <c r="H129" s="21"/>
    </row>
    <row r="130" spans="1:8" x14ac:dyDescent="0.25">
      <c r="A130" s="165"/>
      <c r="B130" s="165"/>
      <c r="C130" s="165"/>
      <c r="D130" s="174"/>
      <c r="E130" s="165"/>
      <c r="F130" s="27"/>
      <c r="G130" s="175">
        <f>SUM(G10:G129)</f>
        <v>5356421763.8999996</v>
      </c>
      <c r="H130" s="21">
        <v>5211258593</v>
      </c>
    </row>
    <row r="131" spans="1:8" x14ac:dyDescent="0.25">
      <c r="A131" s="165"/>
      <c r="B131" s="165"/>
      <c r="C131" s="176"/>
      <c r="D131" s="166"/>
      <c r="E131" s="165"/>
      <c r="F131" s="27"/>
      <c r="G131" s="21"/>
      <c r="H131" s="21"/>
    </row>
    <row r="132" spans="1:8" hidden="1" x14ac:dyDescent="0.25">
      <c r="A132" s="165"/>
      <c r="B132" s="165"/>
      <c r="C132" s="165"/>
      <c r="D132" s="166"/>
      <c r="E132" s="165"/>
      <c r="F132" s="27"/>
      <c r="G132" s="21"/>
      <c r="H132" s="21"/>
    </row>
    <row r="133" spans="1:8" hidden="1" x14ac:dyDescent="0.25">
      <c r="A133" s="165"/>
      <c r="B133" s="165"/>
      <c r="C133" s="165"/>
      <c r="D133" s="166"/>
      <c r="E133" s="165"/>
      <c r="F133" s="27"/>
      <c r="G133" s="21"/>
      <c r="H133" s="21"/>
    </row>
    <row r="134" spans="1:8" hidden="1" x14ac:dyDescent="0.25">
      <c r="A134" s="165"/>
      <c r="B134" s="165"/>
      <c r="C134" s="165"/>
      <c r="D134" s="166"/>
      <c r="E134" s="165"/>
      <c r="F134" s="27"/>
      <c r="G134" s="21"/>
      <c r="H134" s="21"/>
    </row>
    <row r="135" spans="1:8" hidden="1" x14ac:dyDescent="0.25">
      <c r="A135" s="21"/>
      <c r="B135" s="21"/>
      <c r="C135" s="21"/>
      <c r="D135" s="177"/>
      <c r="E135" s="21"/>
      <c r="F135" s="178"/>
      <c r="G135" s="21"/>
      <c r="H135" s="21"/>
    </row>
    <row r="136" spans="1:8" hidden="1" x14ac:dyDescent="0.25">
      <c r="A136" s="21"/>
      <c r="B136" s="21"/>
      <c r="C136" s="21"/>
      <c r="D136" s="177"/>
      <c r="E136" s="21"/>
      <c r="F136" s="178"/>
      <c r="G136" s="21"/>
      <c r="H136" s="21"/>
    </row>
    <row r="137" spans="1:8" hidden="1" x14ac:dyDescent="0.25">
      <c r="A137" s="21"/>
      <c r="B137" s="21"/>
      <c r="C137" s="21"/>
      <c r="D137" s="177"/>
      <c r="E137" s="21"/>
      <c r="F137" s="178"/>
      <c r="G137" s="21"/>
      <c r="H137" s="21"/>
    </row>
    <row r="138" spans="1:8" hidden="1" x14ac:dyDescent="0.25">
      <c r="A138" s="21"/>
      <c r="B138" s="21"/>
      <c r="C138" s="21"/>
      <c r="D138" s="177"/>
      <c r="E138" s="21"/>
      <c r="F138" s="178"/>
      <c r="G138" s="21"/>
      <c r="H138" s="21"/>
    </row>
    <row r="139" spans="1:8" hidden="1" x14ac:dyDescent="0.25">
      <c r="A139" s="21"/>
      <c r="B139" s="21"/>
      <c r="C139" s="21"/>
      <c r="D139" s="177"/>
      <c r="E139" s="21"/>
      <c r="F139" s="178"/>
      <c r="G139" s="21"/>
      <c r="H139" s="21"/>
    </row>
    <row r="140" spans="1:8" hidden="1" x14ac:dyDescent="0.25">
      <c r="A140" s="21"/>
      <c r="B140" s="21"/>
      <c r="C140" s="21"/>
      <c r="D140" s="177"/>
      <c r="E140" s="21"/>
      <c r="F140" s="178"/>
      <c r="G140" s="21"/>
      <c r="H140" s="21"/>
    </row>
    <row r="141" spans="1:8" hidden="1" x14ac:dyDescent="0.25">
      <c r="A141" s="21"/>
      <c r="B141" s="21"/>
      <c r="C141" s="21"/>
      <c r="D141" s="177"/>
      <c r="E141" s="21"/>
      <c r="F141" s="178"/>
      <c r="G141" s="21"/>
      <c r="H141" s="21"/>
    </row>
    <row r="142" spans="1:8" hidden="1" x14ac:dyDescent="0.25">
      <c r="A142" s="21"/>
      <c r="B142" s="21"/>
      <c r="C142" s="21"/>
      <c r="D142" s="177"/>
      <c r="E142" s="21"/>
      <c r="F142" s="178"/>
      <c r="G142" s="21"/>
      <c r="H142" s="21"/>
    </row>
    <row r="143" spans="1:8" hidden="1" x14ac:dyDescent="0.25">
      <c r="A143" s="179" t="s">
        <v>495</v>
      </c>
      <c r="B143" s="21"/>
      <c r="C143" s="21"/>
      <c r="D143" s="177"/>
      <c r="E143" s="21"/>
      <c r="F143" s="178"/>
      <c r="G143" s="21"/>
      <c r="H143" s="21"/>
    </row>
    <row r="144" spans="1:8" hidden="1" x14ac:dyDescent="0.25">
      <c r="A144" s="21">
        <v>115</v>
      </c>
      <c r="B144" s="21" t="s">
        <v>496</v>
      </c>
      <c r="C144" s="21"/>
      <c r="D144" s="177"/>
      <c r="E144" s="21"/>
      <c r="F144" s="178"/>
      <c r="G144" s="21"/>
      <c r="H144" s="21"/>
    </row>
    <row r="145" spans="1:2" hidden="1" x14ac:dyDescent="0.25">
      <c r="A145" s="21">
        <v>215</v>
      </c>
      <c r="B145" s="21" t="s">
        <v>497</v>
      </c>
    </row>
    <row r="146" spans="1:2" hidden="1" x14ac:dyDescent="0.25">
      <c r="A146" s="21">
        <v>315</v>
      </c>
      <c r="B146" s="21" t="s">
        <v>498</v>
      </c>
    </row>
    <row r="147" spans="1:2" hidden="1" x14ac:dyDescent="0.25">
      <c r="A147" s="21">
        <v>415</v>
      </c>
      <c r="B147" s="21" t="s">
        <v>499</v>
      </c>
    </row>
    <row r="148" spans="1:2" hidden="1" x14ac:dyDescent="0.25">
      <c r="A148" s="21">
        <v>515</v>
      </c>
      <c r="B148" s="21" t="s">
        <v>500</v>
      </c>
    </row>
    <row r="149" spans="1:2" hidden="1" x14ac:dyDescent="0.25">
      <c r="A149" s="21">
        <v>615</v>
      </c>
      <c r="B149" s="21" t="s">
        <v>500</v>
      </c>
    </row>
    <row r="150" spans="1:2" hidden="1" x14ac:dyDescent="0.25">
      <c r="A150" s="21">
        <v>115</v>
      </c>
      <c r="B150" s="21" t="s">
        <v>501</v>
      </c>
    </row>
    <row r="151" spans="1:2" hidden="1" x14ac:dyDescent="0.25">
      <c r="A151" s="21">
        <v>715</v>
      </c>
      <c r="B151" s="21" t="s">
        <v>502</v>
      </c>
    </row>
    <row r="152" spans="1:2" hidden="1" x14ac:dyDescent="0.25">
      <c r="A152" s="21">
        <v>815</v>
      </c>
      <c r="B152" s="21" t="s">
        <v>502</v>
      </c>
    </row>
    <row r="153" spans="1:2" hidden="1" x14ac:dyDescent="0.25">
      <c r="A153" s="21"/>
      <c r="B153" s="21"/>
    </row>
    <row r="154" spans="1:2" hidden="1" x14ac:dyDescent="0.25">
      <c r="A154" s="21"/>
      <c r="B154" s="21"/>
    </row>
    <row r="155" spans="1:2" x14ac:dyDescent="0.25">
      <c r="A155" s="21"/>
      <c r="B155" s="21"/>
    </row>
  </sheetData>
  <mergeCells count="8">
    <mergeCell ref="J121:L121"/>
    <mergeCell ref="J122:L122"/>
    <mergeCell ref="A1:E1"/>
    <mergeCell ref="A3:E3"/>
    <mergeCell ref="A5:E5"/>
    <mergeCell ref="A7:A8"/>
    <mergeCell ref="B7:B8"/>
    <mergeCell ref="J120:L120"/>
  </mergeCells>
  <pageMargins left="0.70866141732283472" right="0.70866141732283472" top="0.74803149606299213" bottom="0.74803149606299213" header="0.31496062992125984" footer="0.31496062992125984"/>
  <pageSetup paperSize="5" scale="7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3"/>
  <sheetViews>
    <sheetView workbookViewId="0">
      <selection activeCell="F16" sqref="F16"/>
    </sheetView>
  </sheetViews>
  <sheetFormatPr baseColWidth="10" defaultRowHeight="15" x14ac:dyDescent="0.25"/>
  <cols>
    <col min="3" max="4" width="21.140625" customWidth="1"/>
    <col min="5" max="5" width="11.7109375" bestFit="1" customWidth="1"/>
    <col min="6" max="6" width="11.7109375" customWidth="1"/>
    <col min="7" max="7" width="19" customWidth="1"/>
    <col min="8" max="8" width="44.5703125" customWidth="1"/>
  </cols>
  <sheetData>
    <row r="2" spans="3:8" ht="15.75" thickBot="1" x14ac:dyDescent="0.3"/>
    <row r="3" spans="3:8" ht="24" thickBot="1" x14ac:dyDescent="0.4">
      <c r="C3" s="246" t="s">
        <v>267</v>
      </c>
      <c r="D3" s="247"/>
      <c r="E3" s="247"/>
      <c r="F3" s="247"/>
      <c r="G3" s="247"/>
      <c r="H3" s="248"/>
    </row>
    <row r="4" spans="3:8" ht="15.75" thickBot="1" x14ac:dyDescent="0.3">
      <c r="D4" t="s">
        <v>264</v>
      </c>
    </row>
    <row r="5" spans="3:8" x14ac:dyDescent="0.25">
      <c r="C5" s="244" t="s">
        <v>263</v>
      </c>
      <c r="D5" s="5">
        <v>2016</v>
      </c>
      <c r="E5" s="5" t="s">
        <v>265</v>
      </c>
      <c r="F5" s="5"/>
      <c r="G5" s="5"/>
      <c r="H5" s="6"/>
    </row>
    <row r="6" spans="3:8" ht="60.75" thickBot="1" x14ac:dyDescent="0.3">
      <c r="C6" s="245"/>
      <c r="D6" s="8">
        <v>7258158545</v>
      </c>
      <c r="E6" s="7">
        <v>689454</v>
      </c>
      <c r="F6" s="7"/>
      <c r="G6" s="8">
        <f>+D6/E6</f>
        <v>10527.400733043829</v>
      </c>
      <c r="H6" s="4" t="s">
        <v>266</v>
      </c>
    </row>
    <row r="8" spans="3:8" ht="15.75" thickBot="1" x14ac:dyDescent="0.3"/>
    <row r="9" spans="3:8" ht="18.75" x14ac:dyDescent="0.3">
      <c r="C9" s="17" t="s">
        <v>269</v>
      </c>
      <c r="D9" s="2"/>
      <c r="E9" s="2"/>
      <c r="F9" s="2" t="s">
        <v>270</v>
      </c>
      <c r="G9" s="12">
        <v>193047120</v>
      </c>
    </row>
    <row r="10" spans="3:8" ht="18.75" x14ac:dyDescent="0.25">
      <c r="C10" s="18"/>
      <c r="D10" s="1"/>
      <c r="E10" s="1"/>
      <c r="F10" s="1"/>
      <c r="G10" s="13"/>
    </row>
    <row r="11" spans="3:8" ht="45" x14ac:dyDescent="0.25">
      <c r="C11" s="16" t="s">
        <v>273</v>
      </c>
      <c r="D11" s="9">
        <v>280</v>
      </c>
      <c r="E11" s="10">
        <v>689454</v>
      </c>
      <c r="F11" s="11" t="s">
        <v>271</v>
      </c>
      <c r="G11" s="14">
        <f>+D11*E11</f>
        <v>193047120</v>
      </c>
    </row>
    <row r="12" spans="3:8" ht="18.75" x14ac:dyDescent="0.25">
      <c r="C12" s="18"/>
      <c r="D12" s="1"/>
      <c r="E12" s="1"/>
      <c r="F12" s="1"/>
      <c r="G12" s="13"/>
    </row>
    <row r="13" spans="3:8" ht="19.5" thickBot="1" x14ac:dyDescent="0.35">
      <c r="C13" s="19" t="s">
        <v>268</v>
      </c>
      <c r="D13" s="3"/>
      <c r="E13" s="3"/>
      <c r="F13" s="3" t="s">
        <v>272</v>
      </c>
      <c r="G13" s="15">
        <f>G11*0.1</f>
        <v>19304712</v>
      </c>
    </row>
  </sheetData>
  <mergeCells count="2">
    <mergeCell ref="C5:C6"/>
    <mergeCell ref="C3:H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COMPRAS AÑO 2016</vt:lpstr>
      <vt:lpstr>PRESU DESAGREGADO 2016</vt:lpstr>
      <vt:lpstr>Cuantías para contratación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INFOTEP</dc:creator>
  <cp:lastModifiedBy>PLANEACION</cp:lastModifiedBy>
  <cp:lastPrinted>2016-03-04T21:17:14Z</cp:lastPrinted>
  <dcterms:created xsi:type="dcterms:W3CDTF">2015-01-17T17:37:32Z</dcterms:created>
  <dcterms:modified xsi:type="dcterms:W3CDTF">2016-04-01T21:54:45Z</dcterms:modified>
</cp:coreProperties>
</file>