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mc:AlternateContent xmlns:mc="http://schemas.openxmlformats.org/markup-compatibility/2006">
    <mc:Choice Requires="x15">
      <x15ac:absPath xmlns:x15ac="http://schemas.microsoft.com/office/spreadsheetml/2010/11/ac" url="C:\Users\ldavis\Documents\PLANEACION 2023-2027\PLAN ACCIÓN INSTITUCIONAL 2023-2027\PLAN DE ACCIÓN INSTITUCIONAL 2025\SEGUIMIENTO PLAN DE ACCIÓN 2025\"/>
    </mc:Choice>
  </mc:AlternateContent>
  <xr:revisionPtr revIDLastSave="0" documentId="13_ncr:1_{82F702AE-537B-48BC-A7F0-143C1B58D85A}" xr6:coauthVersionLast="36" xr6:coauthVersionMax="47" xr10:uidLastSave="{00000000-0000-0000-0000-000000000000}"/>
  <bookViews>
    <workbookView xWindow="0" yWindow="0" windowWidth="22305" windowHeight="11280" activeTab="1" xr2:uid="{00000000-000D-0000-FFFF-FFFF00000000}"/>
  </bookViews>
  <sheets>
    <sheet name="MISIONAL" sheetId="1" r:id="rId1"/>
    <sheet name="INSTITUCIONAL" sheetId="2" r:id="rId2"/>
    <sheet name="Control de cambio"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8" i="2" l="1"/>
  <c r="V30" i="2"/>
  <c r="W29" i="1"/>
  <c r="W16" i="1"/>
  <c r="M19" i="1" l="1"/>
  <c r="M29" i="1"/>
  <c r="L21" i="1"/>
  <c r="L25" i="1" l="1"/>
  <c r="M44" i="1"/>
  <c r="M20" i="2"/>
  <c r="N18" i="2"/>
  <c r="M18" i="2"/>
  <c r="L18" i="2"/>
  <c r="K18" i="2"/>
  <c r="J18" i="2"/>
  <c r="L40" i="1" l="1"/>
  <c r="L39" i="1"/>
  <c r="N33" i="2"/>
  <c r="M33" i="2"/>
  <c r="M16" i="1"/>
  <c r="L24" i="1"/>
  <c r="L19" i="1" l="1"/>
  <c r="L36" i="1"/>
  <c r="L35" i="1"/>
  <c r="L34" i="1"/>
  <c r="L33" i="1"/>
  <c r="L32" i="1"/>
  <c r="L31" i="1"/>
  <c r="N27" i="2" l="1"/>
  <c r="M26" i="2"/>
  <c r="L11" i="2" l="1"/>
  <c r="M18" i="1"/>
  <c r="K18" i="1"/>
  <c r="J18" i="1"/>
  <c r="M12" i="2"/>
  <c r="N9" i="2"/>
  <c r="J49" i="1"/>
  <c r="K40" i="1"/>
  <c r="J40" i="1"/>
  <c r="I40" i="1"/>
  <c r="K39" i="1"/>
  <c r="J39" i="1"/>
  <c r="I39" i="1"/>
  <c r="K35" i="1"/>
  <c r="J35" i="1"/>
  <c r="I35" i="1"/>
  <c r="K34" i="1"/>
  <c r="J34" i="1"/>
  <c r="I34" i="1"/>
  <c r="K33" i="1"/>
  <c r="J33" i="1"/>
  <c r="I33" i="1"/>
  <c r="K32" i="1"/>
  <c r="J32" i="1"/>
  <c r="I32" i="1"/>
  <c r="K31" i="1"/>
  <c r="J31" i="1"/>
  <c r="I31" i="1"/>
  <c r="K24" i="1"/>
  <c r="K22" i="1"/>
  <c r="J21" i="1"/>
  <c r="K21" i="1" s="1"/>
  <c r="K19" i="1"/>
  <c r="J19" i="1"/>
  <c r="I19" i="1"/>
  <c r="I18" i="1"/>
  <c r="K10" i="1"/>
  <c r="L18" i="1"/>
  <c r="L33" i="2"/>
  <c r="K33" i="2"/>
  <c r="J33" i="2"/>
  <c r="L28" i="2"/>
  <c r="K28" i="2"/>
  <c r="J28" i="2"/>
  <c r="L27" i="2"/>
  <c r="J27" i="2"/>
  <c r="K26" i="2"/>
  <c r="J26" i="2"/>
  <c r="L20" i="2"/>
  <c r="K20" i="2"/>
  <c r="J20" i="2"/>
  <c r="L17" i="2"/>
  <c r="K17" i="2"/>
  <c r="L12" i="2"/>
  <c r="K12" i="2"/>
  <c r="K11" i="2"/>
  <c r="J11" i="2"/>
  <c r="H46" i="1" l="1"/>
  <c r="H45" i="1"/>
  <c r="G36" i="1"/>
  <c r="G21" i="1"/>
  <c r="G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Estudiante25</author>
  </authors>
  <commentList>
    <comment ref="D25" authorId="0" shapeId="0" xr:uid="{00000000-0006-0000-0000-000001000000}">
      <text>
        <r>
          <rPr>
            <b/>
            <sz val="9"/>
            <color rgb="FF000000"/>
            <rFont val="Tahoma"/>
            <family val="2"/>
          </rPr>
          <t>Estudiante25:</t>
        </r>
        <r>
          <rPr>
            <sz val="9"/>
            <color rgb="FF000000"/>
            <rFont val="Tahoma"/>
            <family val="2"/>
          </rPr>
          <t xml:space="preserve">
</t>
        </r>
        <r>
          <rPr>
            <sz val="9"/>
            <color rgb="FF000000"/>
            <rFont val="Tahoma"/>
            <family val="2"/>
          </rPr>
          <t xml:space="preserve">En el corto Plazo de manera interna - diseñar una politica defina la ruta </t>
        </r>
      </text>
    </comment>
    <comment ref="D26" authorId="0" shapeId="0" xr:uid="{00000000-0006-0000-0000-000002000000}">
      <text>
        <r>
          <rPr>
            <b/>
            <i/>
            <sz val="14"/>
            <color indexed="10"/>
            <rFont val="Tahoma"/>
            <family val="2"/>
          </rPr>
          <t xml:space="preserve">Estudiante25:
trabajado  con Julieth </t>
        </r>
      </text>
    </comment>
    <comment ref="E39" authorId="0" shapeId="0" xr:uid="{00000000-0006-0000-0000-000003000000}">
      <text>
        <r>
          <rPr>
            <sz val="12"/>
            <color rgb="FF006100"/>
            <rFont val="Aptos Narrow"/>
            <family val="2"/>
          </rPr>
          <t>Estudiante25:</t>
        </r>
        <r>
          <rPr>
            <sz val="12"/>
            <color rgb="FF9C0006"/>
            <rFont val="Aptos Narrow"/>
            <family val="2"/>
          </rPr>
          <t xml:space="preserve">
</t>
        </r>
        <r>
          <rPr>
            <sz val="12"/>
            <color rgb="FF9C5700"/>
            <rFont val="Aptos Narrow"/>
            <family val="2"/>
          </rPr>
          <t>se unifico cada uno de los componentes  en un solo indicador,  donde al momento de ejecucion debe definir las estrategias  en materia de  en materia de Investigación, Innovación, creación artística y cultural.</t>
        </r>
      </text>
    </comment>
  </commentList>
</comments>
</file>

<file path=xl/sharedStrings.xml><?xml version="1.0" encoding="utf-8"?>
<sst xmlns="http://schemas.openxmlformats.org/spreadsheetml/2006/main" count="450" uniqueCount="357">
  <si>
    <t>LÍNEAS TEMÁTICAS</t>
  </si>
  <si>
    <t>DESCRIPCIÓN</t>
  </si>
  <si>
    <t>OBJETIVOS ESTRATEGICOS</t>
  </si>
  <si>
    <t>ACCIONES DEL PLAN</t>
  </si>
  <si>
    <t>INDICADORES</t>
  </si>
  <si>
    <t>FÓRMULA DEL INDICADOR</t>
  </si>
  <si>
    <t>Gestión Educativa: Oferta de programas por ciclos propedéuticos.</t>
  </si>
  <si>
    <t>Propuesta institucional de brindar a la comunidad de las Islas la oportunidad de cursar el nivel completo de sus programas académicos hasta llegar a culminar el ciclo universitario de forma que se incremente gradualmente la tasa de cobertura y la cadena de formación. En este punto se diseñará y ejecutará un Programa de Tránsito Inmediato a la Educación Superior- con el cual se fomentará el acceso inmediato a la educación superior de los bachilleres recién graduados en las Islas.</t>
  </si>
  <si>
    <t>Crear la oferta de programas académicos por ciclos propedéuticos.</t>
  </si>
  <si>
    <t>Ofrecer nuevos programas académicos por ciclos propedéuticos</t>
  </si>
  <si>
    <t>Programas nuevos por ciclos propedéuticos aprobados</t>
  </si>
  <si>
    <t xml:space="preserve"># de programas aprobados por ciclos propedéuticos/# de programas presentados por ciclos propedéuticos </t>
  </si>
  <si>
    <t>Implementar el Programa de Tránsito Inmediato a la Educación Superior –PTIES</t>
  </si>
  <si>
    <t xml:space="preserve">Diseñar e implementar estrategias para el transito inmediato a la Educación Superior (PTIES)  </t>
  </si>
  <si>
    <t>Estrategia Implementadas  para favorecer el transito inmediato a la Educación Superior (PTIES)</t>
  </si>
  <si>
    <t>Estrategias ejecutadas (EE) / Estrategias Planeadas (EP) * 100</t>
  </si>
  <si>
    <t>Aumentar el número de los estudiantes matriculados en los diferentes programas académicos vigentes.</t>
  </si>
  <si>
    <t>Porcentaje de incremento de Cantidad de estudiantes matriculados</t>
  </si>
  <si>
    <t>% incremento de Cantidad de estudiantes matriculados</t>
  </si>
  <si>
    <t>Gestionar el cambio de carácter institucional.</t>
  </si>
  <si>
    <t>Desarrollar estrategias para lograr el cambio de carácter de INFOTEP.</t>
  </si>
  <si>
    <t>Estrategias implementadas para la gestión de cambio de carácter académico</t>
  </si>
  <si>
    <t>Declarar e implementar los resultados de aprendizaje de los programas</t>
  </si>
  <si>
    <t>Implementar los resultados de aprendizaje declarados en los programas</t>
  </si>
  <si>
    <t>#de programas con resultados de aprendizaje declarados e implementados</t>
  </si>
  <si>
    <t># de programas con resultados de aprendizaje declarados e implementados</t>
  </si>
  <si>
    <t xml:space="preserve">Aumentar los ingresos  generados por los servicios académicos (matricula, certificados, examenes especiales) de los programas </t>
  </si>
  <si>
    <t xml:space="preserve">Incremento de los recursos generados por los servicios académicos </t>
  </si>
  <si>
    <t xml:space="preserve">% de incremento en los recursos generados por los servicios académicos </t>
  </si>
  <si>
    <t>% de incremento generados por servicios académicos  (matricula, certificados, examenes especiales) de los programas académicos.</t>
  </si>
  <si>
    <t>Ofrecer programas de posgrados.</t>
  </si>
  <si>
    <t>Programas de posgrado ofertados</t>
  </si>
  <si>
    <t># de programas de posgrados ofertados</t>
  </si>
  <si>
    <t># de programas de posgrados desarrollados/ # de programas de posgrados ofertados</t>
  </si>
  <si>
    <t>Diseñar e Implementar el plan de acceso, permanencia y graduación institucional.</t>
  </si>
  <si>
    <t>Diseño e implementación del plan de  acceso, permanencia y graduación institucional</t>
  </si>
  <si>
    <t>Porcentaje de implementación del plan de acceso, permanencia y graduación institucional</t>
  </si>
  <si>
    <t>(#  de estrategias del plan de acceso, permanencia y graduación instituional implementadas / # total de estrategias del plan de acceso, permanencia y graduación instituional planeadas) * 100</t>
  </si>
  <si>
    <t>Fortalecer las habilidades y capacidades de los estudiantes para la aplicación de pruebas saber TyT</t>
  </si>
  <si>
    <t>Estrtaegias de fortalecimiento de capacidades de los estudiantes</t>
  </si>
  <si>
    <t>Puntaje promedio en los resultados de las pruebas de saber TyT obtenido anualmente</t>
  </si>
  <si>
    <t># de puntaje promedio obtenido anualmente en las pruebas de de TyT</t>
  </si>
  <si>
    <t>Gestionar nuevos laboratorios de programas académicos</t>
  </si>
  <si>
    <t>Cantidad de laboratorios nuevos adecuados y dotados</t>
  </si>
  <si>
    <t># total de laboratorios adecuados y dotados</t>
  </si>
  <si>
    <t>Educación integral, incluyente, intercultural y antirracista</t>
  </si>
  <si>
    <t>Construcción de acciones para la promoción de acceso y admisión a estudiantes en condiciones de igualdad y de equidad en termino de poblaciones y de género, desarrollo de currículo intercultural, diverso y antirracista. Espacios seguros y libres de discriminación y racismo, donde se promueva el cuidado del medio ambiente, vinculación de docentes y administrativos de manera equitativa, transformación cultural y generación de conocimiento.</t>
  </si>
  <si>
    <t>Contribuir a la consolidación de un Sistema de Educación Superior Integral, Incluyente, Intercultural y Antirracista</t>
  </si>
  <si>
    <t>Implementar acciones que contibuyan el Sistema de Educación Superior Integral, Incluyente, Intercultural y Antirracista</t>
  </si>
  <si>
    <t>Porcentaje de implementación del Sistema de Educación Superior Integral, Incluyente, Intercultural y Antirracista</t>
  </si>
  <si>
    <t>(# de acciones del Sistema de Educación Superior Integral, Incluyente, Intercultural y Antirracista implementadas / # total de acciones planeadas)*100%</t>
  </si>
  <si>
    <t>Idiomas: Trilingüismo.</t>
  </si>
  <si>
    <t>Fomento de la apropiación de la cultura isleña y dominio del kriol (lengua nativa del territorio insular) para extranjeros con inmersión a toda la comunidad educativa y grupos de valor externos, como también el inglés y español.</t>
  </si>
  <si>
    <t>Aumentar de uno (1) a dos (2) nivel de inglés de docentes y funcionarios de la institución bajo el marco común europeo.</t>
  </si>
  <si>
    <t>Formar a los docentes y funcionarios de la institución en segunda lengua, bajo los estándares de los exámenes internacionales.</t>
  </si>
  <si>
    <t>Porcentaje  de profesores y funcionarios formados en inglés</t>
  </si>
  <si>
    <t xml:space="preserve">%   Profesores y funcionarios formados en inglés / % total de funcionarios y profesores </t>
  </si>
  <si>
    <t>Porcentaje de apropiación de las herramientas digitales para el aprendizaje autónomo de de centro de idiomas y cultura</t>
  </si>
  <si>
    <t>% de apropiación de las herramientas digitales para el aprendizaje autónomo de de centro de idiomas y cultura</t>
  </si>
  <si>
    <t xml:space="preserve">Aumentar los ingresos que se generan por la matrícula a cursos del centro de lenguas y cultura </t>
  </si>
  <si>
    <t>Incrementar los ingresos percibidos por el número de matriculados a programas de idiomas ofertados por el centro de lenguas y cultura.</t>
  </si>
  <si>
    <t xml:space="preserve">% de incremento de ingresos percibidos por las matrículas efectivas de cursos del centro de lenguas y cultura </t>
  </si>
  <si>
    <t>(# Ingresos por matrículas efectivas de cursos de idiomas año 1/ # de ingresos por matriculas efectivas de centro de lenguas y cultura  año 2 ) X 100</t>
  </si>
  <si>
    <t>Fomentar la promoción de la cultura raizal isleña, a través de la apropiación del kriol.</t>
  </si>
  <si>
    <t>Número de personas formadas en Kriol</t>
  </si>
  <si>
    <t># de personas formadas en Kriol</t>
  </si>
  <si>
    <t>Incrementar el nivel de una segunda lengua de los estudiantes bajo los estándares internacionales.</t>
  </si>
  <si>
    <t>Cantidad de estudiantes formados en lenguas</t>
  </si>
  <si>
    <t># estudiantes formados en lenguas /total de estudiantes en lenguas en cada periodo</t>
  </si>
  <si>
    <t>Diseñar e Implementar estrategias para la formalización y reconocimiento del centro de lenguas y cultura de la institución.</t>
  </si>
  <si>
    <t>Estrategias implementadas</t>
  </si>
  <si>
    <t>Fomentar la promoción y apropiación de la cultura raizal.</t>
  </si>
  <si>
    <t>Desarrollar  actividades para la promoción y apropiación de la cultura raizal</t>
  </si>
  <si>
    <t>Cantidad de beneficiarios de los espacios que promuevan el aprendizaje de idiomas y fomenten la apropiación cultural</t>
  </si>
  <si>
    <t># de beneficiarios de los espacios que promuevan el aprendizaje de idiomas y fomenten la apropiación cultural</t>
  </si>
  <si>
    <t>Extensión y proyección social.</t>
  </si>
  <si>
    <t>Fortalecimiento de la gestión institucional enfocada a posicionar la oferta de servicios en la comunidad isleña, el sector productivo y al cumplimiento de la política de Responsabilidad social e institucional. Adicionalmente, representa los esfuerzos institucionales en el acompañamiento a estudiantes para ubicarse en el mercado laboral.</t>
  </si>
  <si>
    <t>Fortalecer el proceso de extensión y proyección social, en aras de visibilizar la labor institucional en beneficio de los grupos de valor.</t>
  </si>
  <si>
    <t>Diseñar e implementar la estrategia INFOTEP a la comunidad.</t>
  </si>
  <si>
    <t>Numero de acciones para Fortalecer el proceso de extensión y proyección social</t>
  </si>
  <si>
    <t>Numero de acciones para Fortalecer el proceso de extensión y proyección social, implementadas /  Numero de acciones para Fortalecer el proceso de extensión y proyección social Planeadas</t>
  </si>
  <si>
    <t>Desarrollar estrategias para internacionalizar el proceso de extensión y proyección social.</t>
  </si>
  <si>
    <t>Numero de acciones para visibilizar la labor institucional en beneficio de las modalidades a desarrollar en la extension</t>
  </si>
  <si>
    <t xml:space="preserve">Numero de acciones para visibilizar la labor institucional en beneficio de las modalidades a desarrollar en la extension ejecutadas / Numero de acciones para visibilizar la labor institucional en beneficio de las modalidades de realizar la extension Planeadas </t>
  </si>
  <si>
    <t>Desarrollar estrategias que promuevan el Emprendimiento en los miembros de la comunidad educativa, el cual contemple a su vez los grupos de protección especial (género, población en condición de discapacidad, raizales, madres cabeza de hogar, entre otros).</t>
  </si>
  <si>
    <t>Numero de estrategias que promuevan el Emprendimiento en los miembros de la comunidad educativa</t>
  </si>
  <si>
    <t xml:space="preserve">Numero de estrategias que promuevan el Emprendimiento en los miembros de la comunidad educativa ejecutadas / Numero deestrategias que promuevan el Emprendimiento en los miembros de la comunidad educativa Planeadas </t>
  </si>
  <si>
    <t>Obtener ingresos propios generados por los servicios de extensión.</t>
  </si>
  <si>
    <t>Aumentar los ingresos percibidos por la oferta de los servicios de extensión.</t>
  </si>
  <si>
    <t>Total de ingresos percibidos por la oferta de servicios de extensión</t>
  </si>
  <si>
    <t xml:space="preserve"># de ingresos por extensión generados en el periodo t-1 / # de ingresos por extensión generados en el periodo t </t>
  </si>
  <si>
    <t>Programas de Egresados</t>
  </si>
  <si>
    <t>Contempla todo el programa de acompañamiento y seguimiento hacia la inserción laboral, con el fin de maximizar sus capacidades y de esta manera, consolidar su rol como agente potencializador del desarrollo social, económico, cultural dentro del territorio insular como el nacional.</t>
  </si>
  <si>
    <t>Desarrollar estrategias en beneficio de los egresados de la institución, que promuevan su participación y constante comunicación</t>
  </si>
  <si>
    <t>Propender por el crecimiento y posicionamiento continuo de los egresados de la institución, a través de actividades que faciliten la constante comunicación y fortalezcan las relaciones con este grupo de valor.</t>
  </si>
  <si>
    <t>Estrategias desarrolladas en beneficios de los egresados</t>
  </si>
  <si>
    <t>(#de estrategias desarrolladas / total #de estrategias programadas</t>
  </si>
  <si>
    <t>Bienestar Institucional (comunidad educativa)</t>
  </si>
  <si>
    <t>Contempla todos los programas y actividades de acompañamiento, enfocados en mejorar las condiciones de vida de la comunidad educativa, con el fin de propender por ambientes laborales saludables, territorios seguros, libres de violencia y respetuosos de los derechos fundamentales.</t>
  </si>
  <si>
    <t>Liderar el desarrollo de acciones efectivas que apunten a fortalecer el acompañamiento y la formación integral de los estudiantes, a través de servicios de bienestar de calidad.</t>
  </si>
  <si>
    <t>Programa de bienestar estudiantil diseñado e implementado</t>
  </si>
  <si>
    <t># de actividades del programa de bienestar estudiantil ejecutadas/ #de actividades del programa de bienestar estudiantil planeadas</t>
  </si>
  <si>
    <t>Diseñar e implementar el programa de salud mental y prevención de consumo de sustancias psicoactivas.</t>
  </si>
  <si>
    <t>Diseñar e implementar el programa institucional de actividad física, recreación y deporte.</t>
  </si>
  <si>
    <t>Diseñar e implementar el programa institucional de arte y cultura.</t>
  </si>
  <si>
    <t>Diseñar e implementar el programa institucional de apoyo socioecónomico.</t>
  </si>
  <si>
    <t>Fortalecer las capacidades de desarrollo humano en los estudiantes.</t>
  </si>
  <si>
    <t>Número de beneficiarios de los procesos de formación de capacidades y habilidades que impulsen el desarrollo humano</t>
  </si>
  <si>
    <t>(# de beneficiarios de los procesos de formación de capacidades y habilidades que impulsen el desarrollo humano proyectados/# de estudiantes matriculados en los programas académicos)*100</t>
  </si>
  <si>
    <t>Fomento de la permanencia, graduación oportuna, inclusión e interculturalidad a través de las diferentes políticas.</t>
  </si>
  <si>
    <t xml:space="preserve">Implementar el acceso, permanencia y graduación
</t>
  </si>
  <si>
    <t>Disminuir la Deserción</t>
  </si>
  <si>
    <t>Disminuir el nivel de intensión de deserción estudiantil.</t>
  </si>
  <si>
    <t>(% nivel de intensión deserción reportado/ % nivel de intención deserción estimado)*100</t>
  </si>
  <si>
    <t>Porcentaje de implementación efectiva de la política de acceso, permanencia y graduación institucional</t>
  </si>
  <si>
    <t>(% de actividades de la política de acceso, permanencia y graduación institucional implementadas / % total de actividades de la política de acceso, permanencia y graduación institucional planeadas)*100</t>
  </si>
  <si>
    <t>Investigación, Innovación, creación artística y cultural.</t>
  </si>
  <si>
    <t>Fomento de la cultura investigativa, innovación, creación artística y cultural en la institución, para el aumento de la producción intelectual, la apropiación de habilidades científicas y la generación de nuevos conocimientos. Todo ello tendiente a incrementar las capacidades investigativas, innovación, creación artística y cultural de la institución y que se convierta en un repositorio de información.</t>
  </si>
  <si>
    <t>Fomentar la construcción del conocimiento, a través del fortalecimiento de la gestión del INFOTEP en materia de Investigación, Innovación, creación artística y cultural.</t>
  </si>
  <si>
    <t>Desarrollar estrategias para fortalecer la gestión y producción académica del Proceso de investigación, innovación, creación artística y cultural.</t>
  </si>
  <si>
    <t>Estrategias implementadas en materia de Investigación, Innovación, creación artística y cultural.</t>
  </si>
  <si>
    <t>% Estrategias ejecutadas (EE) / Estrategias Planeadas (EP) * 100</t>
  </si>
  <si>
    <t>Fomentar el uso de las capacidades instaladas del laboratorio de innovación.</t>
  </si>
  <si>
    <t>Plan Estrategico del laboratorio de innovacion implementado</t>
  </si>
  <si>
    <t>Acciones ejecutadas (EE) / Acciones Planeadas (EP) * 100</t>
  </si>
  <si>
    <t>Ejecutar proyectos Ciencias, técnologias e innovación financiados, bajo distintas fuentes (internas y externas).</t>
  </si>
  <si>
    <t>Gestión de la internacionalización y cooperación internacional.</t>
  </si>
  <si>
    <t>Fomentar la Gestión de la internacionalización y cooperación internacional.</t>
  </si>
  <si>
    <t>Fortalecer las relaciones interinstitucionales del INFOTEP a nivel nacional e internacional (principalmente con proyección hacia el Caribe).</t>
  </si>
  <si>
    <t>Actualizar e incrementar el número de convenios interinstitucionales a nivel nacional e internacional, en aras de apoyar de manera transversal la consecución de metas trazadas en las diferentes áreas de la institución.</t>
  </si>
  <si>
    <t>Cantidad de convenios suscritos a nivel nacional e internacional</t>
  </si>
  <si>
    <t xml:space="preserve"># de convenios suscritos para fortalecer las Relaciones interinstitucionales </t>
  </si>
  <si>
    <t>Diseñar e implementar el programa "movilidad entrante y saliente en beneficios de la comunidad académica.</t>
  </si>
  <si>
    <t>Implementar el programa "movilidad entrante y saliente por categoría garantizada", el cual, a través de alianzas con otras instituciones de educación superior, brinde a estudiantes la oportunidad de realizar actividades académicas en otra región.</t>
  </si>
  <si>
    <t>Porcentaje de implementación del programa de "movilidad entrante y saliente por categoría garantizada"</t>
  </si>
  <si>
    <t>(# de acciones del programa de "movilidad entrante y saliente por categoría garantizada" Implementados /</t>
  </si>
  <si>
    <t>Incrementar la cantidad de movilidades entrantes y salientes</t>
  </si>
  <si>
    <t>Cantidad de movilidades entrantes de estudiantes, docentes, investigaores y/o personal administrativo generadas</t>
  </si>
  <si>
    <t># de movilidades entrantes efectivamente  generadas en el periodo t</t>
  </si>
  <si>
    <t># de movilidades salientes efectivamente  generadas en el periodo t</t>
  </si>
  <si>
    <t>Establecer alianzas con instituciones de educación superior ubicadas en otros países (principalmente del Caribe), que brinden cursos cortos y/o de inmersión en idiomas a través de su centro de idiomas.</t>
  </si>
  <si>
    <t>Aumentar el número de aliados institucionales extranjeros para la realización de inmersión en idiomas.</t>
  </si>
  <si>
    <t>Número de alianzas en idiomas suscritas</t>
  </si>
  <si>
    <t># de alianzas suscritas</t>
  </si>
  <si>
    <t>Promover la Internacionalización del currículo de los programas ofertados por la institución</t>
  </si>
  <si>
    <t>Desarrollar estrategias para lograr internacionalizar el currículo de los programas académicos ofertados por la insitución.</t>
  </si>
  <si>
    <t>Estrategias  de internacionalización promovidas</t>
  </si>
  <si>
    <t># de estrategias de internacionalización planeadas /# de estrategias ejecutadas</t>
  </si>
  <si>
    <t>Promover la internacionalización de la institución, a través de la realización y participación de eventos académicos.</t>
  </si>
  <si>
    <t>Participar en eventos de movilidad académica en la que participa la comunidad educativa</t>
  </si>
  <si>
    <t>Número de eventos de movilidad académica en la que participa la comunidad educativa</t>
  </si>
  <si>
    <t xml:space="preserve"># de movilidades   internacional realizadas </t>
  </si>
  <si>
    <t>FUNCIONAMIENTO</t>
  </si>
  <si>
    <t>INVERSIÓN</t>
  </si>
  <si>
    <t>NACIÓN</t>
  </si>
  <si>
    <t>PROPIOS</t>
  </si>
  <si>
    <t>LÍNEA BASE</t>
  </si>
  <si>
    <t>META 2025</t>
  </si>
  <si>
    <t>Direccionamiento estratégico, planeación y MIPG</t>
  </si>
  <si>
    <t>Representa la forma en cómo se debe liderar la consecución de metas institucionales, a través de los instrumentos de planificación y dirige el seguimiento  de los mismos para lograr la mejora continua y un destacado desempeño institucional.</t>
  </si>
  <si>
    <t>Fortalecer el direccionamiento estratégico para lograr consolidar la institucionalidad y desempeño en la gestión a través de la formulación y seguimiento a los instrumentos de planificación</t>
  </si>
  <si>
    <t>Liderar acciones para la implementación, seguimiento y actualización de planes y políticas institucionales en marco de la normatividad y lo establecido por MIPG.</t>
  </si>
  <si>
    <t>Porcentaje de mejora en los índices de desempeño institucional</t>
  </si>
  <si>
    <t>((# de puntos obtenidos en la medición de los índices de desempeño institucional del año t - # de puntos obtenidos en la medición de los índices de desempeño institucional del año t-1)/# de puntos obtenidos en la medición de los índices de desempeño institucional del año t-1)*100</t>
  </si>
  <si>
    <t>Control  Interno</t>
  </si>
  <si>
    <t>Acciones encaminadas al cumplimiento de las cinco funciones o roles principales asignados por la ley 87 del 93, decreto 648 del 2017 así: enfoque a la prevención, liderazgo estratégico, relación con entes externos, de control y evaluación, seguimiento y evaluación de riesgos, en conformidad del desarrollo de los procesos en términos de eficiencia, eficacia y transparencia, de forma tal que conlleve al mejoramiento continuo a través del monitoreo y supervisión continua generando valor para el alcance de los objetivos Institucionales .</t>
  </si>
  <si>
    <t>Promover el mejoramiento continuo, a través de acciones, métodos y procedimientos de control y de gestión de riesgo así como mecanismos para la prevención y evaluación de este mediante la implementación de actividades de monitoreo y supervisión continua en la entidad.</t>
  </si>
  <si>
    <t>Mejorar las competencias técnicas de los funcionarios  en relación al  control interno y a la cultura de autocontrol y autorregulación</t>
  </si>
  <si>
    <t>Personas formadas</t>
  </si>
  <si>
    <t># Personas formadas</t>
  </si>
  <si>
    <t>La cultura del autocontrol y autorregulación son ejes fundamentales para que sean apropiados como parte de la cultura.</t>
  </si>
  <si>
    <t>Desarrollar estrategias para la apropiación de la cultura de autocontrol y autorregulación en los miembros de la institución.</t>
  </si>
  <si>
    <t># Estrategias  ejecutadas (EE) / #Estrategias Planeadas (EP) * 100</t>
  </si>
  <si>
    <t>Sistema Interno de Aseguramiento de la Calidad SIAC Autoevaluación institucional y de programas</t>
  </si>
  <si>
    <t>Propende por el mejoramiento continuo de las funciones institucionales a partir de la consolidación de una cultura de la calidad, mediante la cual se articule la planeación, la gestión, la evaluación y la autorregulación como aporte a la formación integral y desarrollo social.</t>
  </si>
  <si>
    <t>Fortalecer  el sistema interno de aseguramiento de la calidad (SIAC)</t>
  </si>
  <si>
    <t>Implementar el sistema interno de aseguramiento de la calidad (SIAC) con miras a la coherencia del quehacer de l INFOTEP con los propósitos misionales y estratégicos declarados en su misión institucional.</t>
  </si>
  <si>
    <t>Porcentaje de cumplimiento de las condiciones de calidad institucional cumplidas y documentadas</t>
  </si>
  <si>
    <t>(# de acciones para el fortalecimiento del SIAC implementadas / # de acciones totales planeadas)*100</t>
  </si>
  <si>
    <t>Reestructuración o modernización de planta institucional</t>
  </si>
  <si>
    <t>Se refiere al proceso que debe liderar la institución en aras de lograr una eficiencia en la gestión y desempeño  que facilite la institucionalidad y valor público como propósito fundamental del Estado.</t>
  </si>
  <si>
    <t>Gestionar la reestructuración de la planta institución</t>
  </si>
  <si>
    <t>Gestionar ante el gobierno nacional la modernización y ampliación de la planta de personal acorde con las necesidades institucionales.</t>
  </si>
  <si>
    <t>Número de cargos creados mediante la estrategia de gobierno de formalización del empleo público</t>
  </si>
  <si>
    <t># de cargos creados mediante la estrategia de gobierno de formalización del empleo público</t>
  </si>
  <si>
    <t>Documento técnico para la reestructuración o modernización de planta institucional formulado y aprobado por el consejo directivo</t>
  </si>
  <si>
    <t># de Documentos técnicos para la reestructuración o modernización de planta institucional formulado y aprobado por el consejo directivo</t>
  </si>
  <si>
    <t>Gestión Estratégica del talento humano</t>
  </si>
  <si>
    <t>Desarrollo de estrategias dirigidas a potencializar las capacidades y habilidades del talento humano de la institución, propendiendo por su bienestar y la optimización de sus labores y funciones a través de estrategias de formación e incentivos laborales</t>
  </si>
  <si>
    <t>Gestionar ante el gobierno nacional la modernización y ampliación de la planta de personal acorde con la redefinición, cambio de carácter institucional y exigencias de ley.</t>
  </si>
  <si>
    <t>Diseñar e implementar plan de formalización laboral para la administración pública en equidad.</t>
  </si>
  <si>
    <t>Plan de formalización laboral formulado</t>
  </si>
  <si>
    <t>%Plan de formalización laboral implementado</t>
  </si>
  <si>
    <t>Desarrollar estrategias para gestionar ante la CNSC el proceso para la realización de un nuevo concurso de méritos, que permita proveer las vacantes y acensos de funcionarios.</t>
  </si>
  <si>
    <t>Estrategiasejecutadas (EE) / Estrategias Planeadas (EP) * 100</t>
  </si>
  <si>
    <t>Fomentar el desarrollo permanente del talento humano institucional, en aras de mejorar significativamente su bienestar social y potencializar sus competencias, conocimientos, habilidades blandas.</t>
  </si>
  <si>
    <t>Desarrollar estrategias para mejorar las competencias profesionales a través de formación de alto nivel de los funcionarios de la institución.</t>
  </si>
  <si>
    <t>% de estrategias implementadas</t>
  </si>
  <si>
    <t>Desarrollar estrategias para mejorar el bienestar social del talento humano de la institución y a su vez el clima organizacional.</t>
  </si>
  <si>
    <t>Liderar la implementación del plan de desarrollo profesoral.</t>
  </si>
  <si>
    <t>Porcentaje de avance de implementación del plan</t>
  </si>
  <si>
    <t>Actividades ejecutadas (AE) / Actividades Planeadas (AP) * 100</t>
  </si>
  <si>
    <t>Fortalecer el Sistema de Gestión de seguridad y salud en el trabajo.</t>
  </si>
  <si>
    <t>Desarrollar estrategias  para la adecuada implementación del Sistema de Gestión de seguridad y salud en el trabajo conforme a las exigencias de ley.</t>
  </si>
  <si>
    <t>Gestión jurídica y contratación</t>
  </si>
  <si>
    <t>Se enfoca en el cumplimiento de los requisitos legales vigentes y aplicables a la institución de manera eficiente y transparente, en aras de minimizar los riesgos jurídicos.</t>
  </si>
  <si>
    <t>Fortalecer el área jurídica  y de contratación en lo referente a los requisitos legales vigentes y aplicables a la institución.</t>
  </si>
  <si>
    <t>Desarrollar acciones que permitan mantener una adecuada gestión del ciclo de defensa jurídica de la institución</t>
  </si>
  <si>
    <t>Nivel de litigiosidad bajo</t>
  </si>
  <si>
    <t>% de nivel de litigiosidad bajo</t>
  </si>
  <si>
    <t>Infraestructura física</t>
  </si>
  <si>
    <t>Gestión institucional enfocada en lograr cambios significativos en la planta física, en cumplimiento de los requisitos para ofertar programas académicos y brindar mejores condiciones a la comunidad educativa. Principalmente, en la consecución de un lugar propio para operar, mejoramiento de la seguridad y acceso a la institución</t>
  </si>
  <si>
    <t>Realizar las acciones pertinentes para la consecución de una sede propia</t>
  </si>
  <si>
    <t>Gestionar la titularidad de una sede actual.</t>
  </si>
  <si>
    <t>Realizar las gestiones para la titularidad del terreno</t>
  </si>
  <si>
    <t>Documentos de titularidad legalizados</t>
  </si>
  <si>
    <t>Establecer acciones para la consecución de una nueva sede propia</t>
  </si>
  <si>
    <t>Acciones realizadas para la gestión nueva sede</t>
  </si>
  <si>
    <t>(#Acciones ejecutadas/#acciones planteadas)*100</t>
  </si>
  <si>
    <t>Mejorar las condiciones físicas de la institución conforme a las exigencias de los programas académicos</t>
  </si>
  <si>
    <t>Diseñar e mplementar el plan de dotación, adecuación y mantenimiento de las instalaciones físicas de la institución.</t>
  </si>
  <si>
    <t>Formulacion del Plan, su aprobacion y ejecucion</t>
  </si>
  <si>
    <t xml:space="preserve"># de actividades ejecutadas de plan formulado y aprobado / numero actividades  de plan formulado propuesto </t>
  </si>
  <si>
    <t>Gestión TIC</t>
  </si>
  <si>
    <t>Hace referencia a los esfuerzos institucionales por lograr una modernización, digitalización y actualización de manera periódica de la infraestructura tecnológica y la conectividad de la institución.</t>
  </si>
  <si>
    <t>Fomentar el uso adecuado de las TIC en la institución, a través de la adquisicion, mantenimiento y mejora continua de la infraestructura tecnológica de la institución para que sea cada vez más moderna y actualizada.</t>
  </si>
  <si>
    <t>Diseñar plan de adquisición, modernización y uso adecuado de la tecnologia</t>
  </si>
  <si>
    <t>Adquirir e implementar equipos modernos y actualizados de acuerdo a las necesidades por área y programas académicos vigentes.</t>
  </si>
  <si>
    <t>Desarrollar estrategias de apropiación del adecuado uso y aprovechamiento de los recursos TIC, conforme a necesidades por áreas y programas académicos</t>
  </si>
  <si>
    <t>Comunidad académica impactada</t>
  </si>
  <si>
    <t xml:space="preserve">% de la comunidad académica impactada / % de comunidad academica propuesta </t>
  </si>
  <si>
    <t>Incrementar el nivel de seguridad digital de la entidad, a través de la gestión de riesgos asociados a los activos de información.</t>
  </si>
  <si>
    <t>Desarrollar estrategias de adopción e implementación del modelo de Política de Gobierno digital y seguridad de la información.</t>
  </si>
  <si>
    <t>(%)Porcentaje de avance en la Implementación del Modelo de Seguridad y Privacidad de la Información.</t>
  </si>
  <si>
    <t>Gestión financiera</t>
  </si>
  <si>
    <t>Se encarga del cumplimiento adecuado, legal y responsable de la ejecución contable y presupuestal de la entidad, conforme a normatividad vigente y actualizaciones aplicables.</t>
  </si>
  <si>
    <t>Garantizar la adecuada ejecución contable y presupuestal de la entidad, acorde a los requerimientos de ley y actualizaciones vigentes.</t>
  </si>
  <si>
    <t>Implementar herramientas tecnológicas actualizadas para el adecuado uso y manejo contable de la entidad.</t>
  </si>
  <si>
    <t>Herramientas tecnológicas implementadas</t>
  </si>
  <si>
    <t># herramientas implementadas</t>
  </si>
  <si>
    <t>Procesos del área mejorados</t>
  </si>
  <si>
    <t># de procesos mejorados</t>
  </si>
  <si>
    <t>Desarrollar acciones de formación para el manejo y ejecución contable y presupuestal con diferentes fuentes de financiación.</t>
  </si>
  <si>
    <t>Acciones de formación implementadas</t>
  </si>
  <si>
    <t># de formación implementadas</t>
  </si>
  <si>
    <t>Promoción y posicionamiento institucional (comunicaciones y mercadeo)</t>
  </si>
  <si>
    <t>Estrategias encaminadas a dar a conocer los servicios y la gestión institucional, a través del uso adecuado de canales y medios de difusión presenciales y digitales. Se contempla la implementación de cambios significativos que pueden incluir el nombre o imagen institucional</t>
  </si>
  <si>
    <t>Fortalecer la comunicación interna y externa institucional, a través del uso de diferentes canales de difusión.</t>
  </si>
  <si>
    <t>Implementar estrategias  para Fortalecer la comunicación interna y externa institucional,</t>
  </si>
  <si>
    <t>Estrategias implmentadas para fortalecer la comunicación interna y externa institucional</t>
  </si>
  <si>
    <t># de  estrategias  implementadas para Fortalecer la comunicación interna y externa institucional /  # de  estrategias propuestas  para Fortalecer la comunicación interna y externa institucional,</t>
  </si>
  <si>
    <t>Gestión documental</t>
  </si>
  <si>
    <t>Acciones enfocadas al manejo adecuado de la documentación que se produzca y reciba en el INFOTEP, desde su origen hasta su destino final, con el propósito de facilitar su utilización y conservación, en cumplimiento de la Ley 594 de 2000 -Ley General de Archivos-, y demás disposiciones aplicables.</t>
  </si>
  <si>
    <t>Apropiar las acciones requeridas en gestión documental de acuerdo con la normativa para la conservación de la memoria institucional</t>
  </si>
  <si>
    <t>Desarrollar estrategias para la efectiva implementación del PINAR, PGD, TRD y demás normatividad y lineamientos vigentes.</t>
  </si>
  <si>
    <t>Acciones implementadas</t>
  </si>
  <si>
    <t>Acciones ejecutadas (AE) / Acciones Planeadas (EP) * 100</t>
  </si>
  <si>
    <t>Servicio al ciudadano</t>
  </si>
  <si>
    <t>Fortalecer el servicio al ciudadano facilitando su directa comunicación, a través del uso de tecnología moderna</t>
  </si>
  <si>
    <t>Mejorar los medios de atención a los ciudadanos (físicos y virtuales) en aras de mejorar los niveles de satisfacción al usuario.</t>
  </si>
  <si>
    <t>% de avance de estrategia de modernización tecnológica de la atención a ciudadanos</t>
  </si>
  <si>
    <t>(# acciones de modernización realizadas/ #acciones de modernización planeadas)*100</t>
  </si>
  <si>
    <t>PLAN DE ACCIÓN 2025: COMPONENTE GESTIÓN MISIONAL 
INSTITUTO NACIONAL DE FORMACIÓN TÉCNICA PROFESIONAL DE SAN ANDRÉS Y PROVIDENCIA - INFOTEP SAI</t>
  </si>
  <si>
    <t>POLÍTICA INSTITUCIONAL, MIPG O MISIONAL ASOCIADA</t>
  </si>
  <si>
    <t>Fortalecimiento organizacional y simplificación de procesos,  Seguimiento y evaluación al desempeño institucional,  Participación Ciudadana, Racionalización de trámites</t>
  </si>
  <si>
    <t>Control Interno</t>
  </si>
  <si>
    <t>Fortalecimiento organizacional y simplificación de procesos</t>
  </si>
  <si>
    <t>Gestión Estratégica de Talento Humano</t>
  </si>
  <si>
    <t>Salud y Seguridad en el Trabajo</t>
  </si>
  <si>
    <t>Compras y contratación pública + Defenca Juridica</t>
  </si>
  <si>
    <t>Infraestructura física y tecnológica</t>
  </si>
  <si>
    <t>Política de Gobierno digital y seguridad de la información.</t>
  </si>
  <si>
    <t>Gestión presupuestal y eficiencia del gasto público y planeación institucional</t>
  </si>
  <si>
    <t>Institucional de Comunicaciones</t>
  </si>
  <si>
    <t>Gestión Documental</t>
  </si>
  <si>
    <t>Participación ciudadana, Racionalización de Trámites</t>
  </si>
  <si>
    <t>PLAN DE ACCIÓN 2025: COMPONENTE GESTIÓN MISIONAL 
 INSTITUTO NACIONAL DE FORMACIÓN TÉCNICA PROFESIONAL DE SAN ANDRÉS Y PROVIDENCIA - INFOTEP SAI</t>
  </si>
  <si>
    <t>PLAN DE ACCIÓN 2025 "INFOTEP SE TRANSFORMA"
PROYECCIÓN DE METAS</t>
  </si>
  <si>
    <r>
      <rPr>
        <sz val="10"/>
        <color rgb="FFFF0000"/>
        <rFont val="Book Antiqua"/>
        <family val="1"/>
      </rPr>
      <t>Diseñar</t>
    </r>
    <r>
      <rPr>
        <sz val="10"/>
        <color theme="1"/>
        <rFont val="Book Antiqua"/>
        <family val="1"/>
      </rPr>
      <t xml:space="preserve"> e implementar el programa de salud, hábitos y estilos de vida saludable.</t>
    </r>
  </si>
  <si>
    <t>Control de cambios</t>
  </si>
  <si>
    <t>Versión</t>
  </si>
  <si>
    <t>Fecha de entrada en vigencia</t>
  </si>
  <si>
    <t>Naturaleza del cambio</t>
  </si>
  <si>
    <t>Se elimina la palabra diseñar y se deja implementar, dado a que en la vigencia 2024 se cumplio con el diseño del documento.</t>
  </si>
  <si>
    <t xml:space="preserve"> Implementar el plan estrategico para la sostenibilidad del laboratorio de innovación.</t>
  </si>
  <si>
    <t>Aumentar el número de proyectos de investigación  financiados con fuentes internas</t>
  </si>
  <si>
    <t>Proyectos de investigación financiados de fuentes internas</t>
  </si>
  <si>
    <t>Número de Proyectos de investigación financiados de fuentes internas /Proyectos de investigación formulados</t>
  </si>
  <si>
    <t>Aumentar el número de proyectos formulados, postulados y en ejecución financiados con fuentes externas.</t>
  </si>
  <si>
    <t>Proyectos de investigación formulados y en ejecución financiados de fuentes externas</t>
  </si>
  <si>
    <t>Número de Proyectos de investigación formulados y en ejecución de fuentes externas /Proyectos de investigación formulados</t>
  </si>
  <si>
    <t>TOTAL</t>
  </si>
  <si>
    <t>PROYECCIÓN DE LA EJECUCIÓN DE LA META TRIMESTRALMENTE</t>
  </si>
  <si>
    <t>RECURSOS FINANCIEROS Y TIPO DE FUENTE 2024</t>
  </si>
  <si>
    <t>OBSERVACIONES</t>
  </si>
  <si>
    <t>% DE AVANCE DEL PERIODO</t>
  </si>
  <si>
    <t xml:space="preserve">REPORTE DE RECURSOS FINANCIEROS EJECUTADOS CON CORTE </t>
  </si>
  <si>
    <t>REPORTE CUALITATIVO DEL AVANCE EN EL CUMPLIMIENTO DE LA META</t>
  </si>
  <si>
    <t>LIDER DEL PROCESO</t>
  </si>
  <si>
    <t>TRIM I</t>
  </si>
  <si>
    <t>TRIM II</t>
  </si>
  <si>
    <t>TRIM III</t>
  </si>
  <si>
    <t>TRIM IV</t>
  </si>
  <si>
    <t xml:space="preserve"> evento de jaipi, english day, inmersion linguistica y cultural de los estudiantes de unipaz</t>
  </si>
  <si>
    <t>en el english day se tuvo el apoyo de toda la comunidad estudiantil de paises del caribe y el mundo, enfocado mas en el caribe, salieron clubes de ciudadanos globales y el club de conversacion de ingles</t>
  </si>
  <si>
    <t>en panama se realizo la redcolsi internacional (red colombiana de semilleros de investigacion)</t>
  </si>
  <si>
    <t>En este periodo se realizo el contrato de platzi, para fortalecimiento de capacitacioines de la cuarta revolucion industrual (IA, blockchain, etc). Audiovisual (pantalla, tablets, celulares) lineas exclusivas, soporte, temas de atencion al ciudadano, se fortaleció la tecnologia, calificador de servicio. pantalla interactiva del lab, digiturno para admisiones.</t>
  </si>
  <si>
    <t>El programa de salud y habitos saludables se completo en su totalidad, las actividades realizadas fueron las plasmadas, los estudiantes participan activamente en promocion y prevencion de la sald lo cual apoya la permanencia, mejoramiento de la calidad de vida de los estudiantes y su bienestar fisico</t>
  </si>
  <si>
    <t>Se logro la deteccion de casos de riesgo en cuanto al consumo, se formo a los estudiantes con habilidades para ser primer respondiente en casos de crisis en torno a la salud mental</t>
  </si>
  <si>
    <t>Se logro poner en practica los torneos, propuestas en disciplinas deportivas, se logro visibilizar la institucion por la parte de bienestar con un evento deportivo</t>
  </si>
  <si>
    <t xml:space="preserve">Se cierra el semestre con un evento macro en el que se vincula a toda la comunidad institucional en una programacion en torno al arte y cultura del caribe colombiano </t>
  </si>
  <si>
    <t>a lo largo del ano se logra la entrega de apoyos significativos para los estudiantes, los cuales impactan en el desarrollo de su vida estudiantil.</t>
  </si>
  <si>
    <t>Se fortalecieron habilidades y capacidades para el desarrollo humano de los estudiantes dentro de los cuales se tienen: habilidades sociales,  motivacion, pensamiento critico,  entre otras.</t>
  </si>
  <si>
    <t>lo profesores no tenian tiempo, muchas actividades para realizarlo</t>
  </si>
  <si>
    <t xml:space="preserve">en el ano 2026, se contratara con la plataforma platzi </t>
  </si>
  <si>
    <t>se realizo el talle de agricultura donde se llevaron a los estudiantes a una finca islena, se visito la finca, un agronomo dio la charla acerca de siembra y como trabajaban los antepasados. Se realizo un taller de danza tipica de la isla, tambien participaron estudiantes de otra universidad de la unipaz, se hizo una fair table en el auditorio, se trajeron muestra gasteonomicas, su transcurso y como esta consolidado como parte de la economia de la isla. se hizo el taller de rondon con los funcionarios y contratistas. taller de juegos tradicionales, y se explico cuando se hacian estos, epocas en el ano etc. taller de pesca artesanal, fueron al pescadero del cove donde se explico la pesca tradicional islena.</t>
  </si>
  <si>
    <t>un contrato con l auniversidad unipaz, se realizo una inmersion en ingles con enfasis cultural duracion de 7 dias y se realizo un curso de creole con el banco de occidente con 14 personas inscritas</t>
  </si>
  <si>
    <t>se realizo a totalidad el contrato previsto, se da cumplimiento a cada una de las actividades</t>
  </si>
  <si>
    <t xml:space="preserve">se obtuvieron los registros calificados de las carreras: 1. primera infancia, 2. administracion deportiva y 3. salud y seguridad en el trabajo </t>
  </si>
  <si>
    <t>La gobernacion deptal no ha firmado los convenios pertinentes por lo cual no se pueden adoptar estas estrategias de transito a educacion superior.</t>
  </si>
  <si>
    <t>se esta a la espera resolutiva de la decision del MEN para autorizar el cambio de caracter</t>
  </si>
  <si>
    <t>2 de providencia y 4 de san andres, declarados e implementados, lo que faltaria es la evaluacion que conlleva a mirar si esa implementacion esta siendo efectiva o no, si no esta siendo efectivo tengo que hacer cambios a los resultados, con esto que estoy ensenando no estoy alcanzando lo que quiero alcanzar y por ende no puedo alcanzar el perfil que estoy prometiendo de egreso cuando se gradua.</t>
  </si>
  <si>
    <t>Se tienen 7 posgrados para presentar, pero se estan realizando gestiones previas a esto para poder consolidar efectivamente los posgrados en la institucion</t>
  </si>
  <si>
    <t>no se tiene aun el informe</t>
  </si>
  <si>
    <t>Para el ultimo trimestre se completaron las esteatgias, se difundieron las accioines, programas y servicios principales a traves de voz a voz y los medios tradicionales</t>
  </si>
  <si>
    <t>1. se logro adquirir el software del sistema de gestion de documentos electronicos de archivo, con el cual se va a iniciar la implementacion de la gestion electronica de archivo. Adicional se actualizo el registro de activos de informacion, informacion clasificada y reservada y el esquema de publicacion de informacion</t>
  </si>
  <si>
    <t>se gestionaron propuestas de investigacion, sin financiacion</t>
  </si>
  <si>
    <t>1. se realiza convenio con la universidad nacional, enfocados en la ejecucion del convenio interadministrativo con la U nacional para la implementacion de 3 modelos de negocios verdes, ecosistemas coral, manglar y pastos marinos</t>
  </si>
  <si>
    <t>Registro mensual del reporte de análisis microbiológico de agua _ Seguimiento a la ejecución de las reuniones programadas del COPASST _ Planificación de calendario para proceso de conformación del Comité de Convivencia Laboral _ Coordinación de capacitación sobre funciones y responsabilidades y socialización de guion para simulacro a las Brigadas de emergencia _ Reporte de ejecución y avances para el seguimiento a los planes estratégicos Institucionales y los planes de acción _ Revisión y actualización del Plan de Emergencia de la Institución _ Planificación y ejecución de Simulacro de emergencia con el apoyo de las brigadas de emergencia _ Recepción de Certificados médicos de los funcionarios y remisión para el archivo correspondiente _ Inducción SG-SST a estudiantes de UNIPAZ _ Inspección de señalización y demarcación _ Inspección uso de EPP en el área de Gestión Documental _ Seguimiento y registro de los exámenes médicos ocupacionales de ingreso, periódicos y de retiro _ Seguimiento a la ejecución de inducción y reinducción en SST _ Seguimiento a las acciones preventivas y correctivas de SST _ Coordinación proceso de conformación Comité de Convivencia Laboral _ Capacitación al COPASST sobre inspecciones de seguridad _ Capacitación a los nuevos miembros del Comité de Convivencia Laboral sobre funciones y responsabilidades, introducción a la resolución 3461/2025 y a la Ley 1010/06 _ Coordinación y logística para actividad de tarde de merienda saludable y pausa activa _ Sensibilización sobre el consumo de sustancias psicoactivas _ Coordinación de actividad de sensibilización frente a la corresponsabilidad en el bienestar propio y colectivo en articulación con el área de comunicaciones _ Elaboración de informe de cierre de vigencia del Programa de Gestión Integral de Residuos Sólidos PGIRS _ Seguimiento a los estándares mínimos _ Registro de ausentismos por razones de salud _ Reporte de indicadores de estructura, proceso y resultado para verificar el cumplimiento del SG-SST _ Elaboración y envío a la alta dirección de informe de gestión de la vigencia _ Actualización documento Plan de Trabajo Anual del Sistema de Gestión de la Seguridad y Salud en el Trabajo (SG-SST) 2026 _ Actualización y socialización de formato reporte actos y condiciones inseguras _ Pausas activas mensuales _ Seguimiento y registro de la ejecución de fumigación y desratización _ Seguimiento a las actividades planificadas en el programa de estilo de vida saludable _ Seguimiento a las actividades planificadas en el programa de capacitaciones _ Sensibilización Higiene visual _ Evaluación e inspección como verificación del cumplimiento del orden y aseo de puesto de trabajo _ Elaboración de informe de resultados de la implementación del Programa de orden y aseo _</t>
  </si>
  <si>
    <t>se firmo el convenio marco internacional con la U de cordoba argentina, se quiere fortalecer la atencion integral a la primera infancia</t>
  </si>
  <si>
    <t>Oferta de 4 programas de educación continua (2 Diplomados y 2 cursos) certificando en el trimestre a 93 estudiantes.
Se realizaron 18 actividades académicas con el sector externo impactando a 279 estudiantes de distintos programas académicos.
Se formalizaron 2 alianzas con el sector productivo para beneficiar a la comunidad educativa
Se llevó a cabo el evento académico English day Around the world</t>
  </si>
  <si>
    <t>La IV Jornada de Atención Integral a la Primera Infancia (JAIPI 2025) se consolidó como un espacio académico, pedagógico y cultural orientado a la reflexión, el intercambio de saberes y la construcción colectiva de estrategias que promuevan el desarrollo integral de los niños y niñas en la primera infancia.</t>
  </si>
  <si>
    <t>No existe el plan pero efectivamente se implementan las adecuaciones, mantenimientos de las instalaciones fisicas necesarias</t>
  </si>
  <si>
    <t>Rectoria: Planeación + lideres de proceso</t>
  </si>
  <si>
    <t>Vicerrectoría Administrativa y financiera AVELINO MEZA</t>
  </si>
  <si>
    <t>Vicerrectoria Académica: Jamina Henry + Janelle Forbes</t>
  </si>
  <si>
    <t>Vicerrectoría Administrativa y financiera: Jefe de talento Humano- Jaime Jimenez + Andres Meza</t>
  </si>
  <si>
    <t>Vicerrectoría Administrativa y financiera: Jefe de Talento Humano + Vicerrectoria Académica</t>
  </si>
  <si>
    <t>Vicerrectoría Administrativa y financiera - Avelino  Meza</t>
  </si>
  <si>
    <t>Vicerrectoría Administrativa y financiera: Sistemas y Tecnología Jeiner Lora</t>
  </si>
  <si>
    <t>Vicerrectoría Administrativa y financiera - Avelino Meza</t>
  </si>
  <si>
    <t>Rectoria: Planeación + Comunicaciones-Lynne Davis+ Mike Evans</t>
  </si>
  <si>
    <t>Vicerrectoría Administrativa y financiera: Gestión Documental Zoraida Vanegas</t>
  </si>
  <si>
    <t>Vicerrectoría Administrativa y financiera: Coordinadora de calidad  Janelle Forbes</t>
  </si>
  <si>
    <t>SEGUIMIENTO 4TO TRIMESTRE DE 2025- MESES:OCTUBRE-NOVIEMBRE-DICIEMBRE</t>
  </si>
  <si>
    <t>Vicerrectoría Académica - Jamina  Hernry</t>
  </si>
  <si>
    <t>Vicerrectoría Académica - Jamina  Hernry, Bienestar Universitario- Luisa Archbold</t>
  </si>
  <si>
    <t>Bienestar Universitario- Luisa Archbold</t>
  </si>
  <si>
    <t>Vicerrectoría Académica: Centro de lenguas - Emelino O'Neill</t>
  </si>
  <si>
    <t>Vicerrectoría Académica: Coordinación de Extensión - Julliet Orozco</t>
  </si>
  <si>
    <t>Vicerrectoría Académica: Coordinación de Extensión - Julliet Orozco + Elizabeth Outten</t>
  </si>
  <si>
    <t>Vicerrectoría Académica: Coordinación de Bienestar - Luisa Archbold</t>
  </si>
  <si>
    <t>Vicerrectoría Académica: Coordinación de investigación - Ian David Criollo</t>
  </si>
  <si>
    <t>Vicerrectoría Académica: Coordinación de Extensión - Julliet Orozco+ Derick  Hudson</t>
  </si>
  <si>
    <t>Vicerrectoría Académica: Centro de lenguas - Emelino O'Neill + Derick  Hudson</t>
  </si>
  <si>
    <t>Vicerrectoría Administrativa y financiera: Jefe de Talento Humano + Líder de SST- Jaime Jimenez + Carolina Uribe</t>
  </si>
  <si>
    <t>se realiza gestion para la consitucion para el año 2026, se realizaron reconocimientos de terrenos por medio de la SAE y el gobierno departamental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</si>
</sst>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2" formatCode="_-&quot;$&quot;\ * #,##0_-;\-&quot;$&quot;\ * #,##0_-;_-&quot;$&quot;\ * &quot;-&quot;_-;_-@_-"/>
    <numFmt numFmtId="164" formatCode="0.0%"/>
  </numFmts>
  <fonts count="35">
    <font>
      <sz val="12"/>
      <color theme="1"/>
      <name val="Aptos Narrow"/>
      <family val="2"/>
      <scheme val="minor"/>
    </font>
    <font>
      <sz val="12"/>
      <color theme="1"/>
      <name val="Aptos Narrow"/>
      <family val="2"/>
      <scheme val="minor"/>
    </font>
    <font>
      <b/>
      <sz val="12"/>
      <color theme="1"/>
      <name val="Arial"/>
      <family val="2"/>
    </font>
    <font>
      <b/>
      <sz val="10"/>
      <color rgb="FF000000"/>
      <name val="Arial"/>
      <family val="2"/>
    </font>
    <font>
      <sz val="10"/>
      <color theme="1"/>
      <name val="Arial"/>
      <family val="2"/>
    </font>
    <font>
      <b/>
      <i/>
      <sz val="14"/>
      <color indexed="10"/>
      <name val="Tahoma"/>
      <family val="2"/>
    </font>
    <font>
      <b/>
      <sz val="11"/>
      <color theme="1"/>
      <name val="Book Antiqua"/>
      <family val="1"/>
    </font>
    <font>
      <b/>
      <sz val="8"/>
      <color theme="1"/>
      <name val="Tahoma"/>
      <family val="2"/>
    </font>
    <font>
      <sz val="11"/>
      <color theme="1"/>
      <name val="Aptos Narrow"/>
      <family val="2"/>
      <scheme val="minor"/>
    </font>
    <font>
      <b/>
      <sz val="9"/>
      <color rgb="FF000000"/>
      <name val="Tahoma"/>
      <family val="2"/>
    </font>
    <font>
      <sz val="9"/>
      <color rgb="FF000000"/>
      <name val="Tahoma"/>
      <family val="2"/>
    </font>
    <font>
      <b/>
      <sz val="12"/>
      <color theme="0"/>
      <name val="Bookman Old Style"/>
      <family val="1"/>
    </font>
    <font>
      <sz val="11"/>
      <name val="Book Antiqua"/>
      <family val="1"/>
    </font>
    <font>
      <b/>
      <sz val="11"/>
      <color rgb="FF000000"/>
      <name val="Book Antiqua"/>
      <family val="1"/>
    </font>
    <font>
      <sz val="11"/>
      <color rgb="FF000000"/>
      <name val="Book Antiqua"/>
      <family val="1"/>
    </font>
    <font>
      <sz val="11"/>
      <color theme="1"/>
      <name val="Book Antiqua"/>
      <family val="1"/>
    </font>
    <font>
      <b/>
      <sz val="11"/>
      <name val="Book Antiqua"/>
      <family val="1"/>
    </font>
    <font>
      <b/>
      <sz val="10"/>
      <color rgb="FF000000"/>
      <name val="Book Antiqua"/>
      <family val="1"/>
    </font>
    <font>
      <sz val="10"/>
      <color theme="1"/>
      <name val="Book Antiqua"/>
      <family val="1"/>
    </font>
    <font>
      <sz val="12"/>
      <color theme="1"/>
      <name val="Book Antiqua"/>
      <family val="1"/>
    </font>
    <font>
      <sz val="10"/>
      <color rgb="FF000000"/>
      <name val="Book Antiqua"/>
      <family val="1"/>
    </font>
    <font>
      <sz val="10"/>
      <name val="Book Antiqua"/>
      <family val="1"/>
    </font>
    <font>
      <b/>
      <sz val="10"/>
      <name val="Book Antiqua"/>
      <family val="1"/>
    </font>
    <font>
      <sz val="10"/>
      <color rgb="FFFF0000"/>
      <name val="Book Antiqua"/>
      <family val="1"/>
    </font>
    <font>
      <sz val="10"/>
      <color theme="0"/>
      <name val="Aptos Narrow"/>
      <family val="2"/>
      <scheme val="minor"/>
    </font>
    <font>
      <b/>
      <sz val="10"/>
      <color rgb="FF000000"/>
      <name val="Aptos Narrow"/>
      <family val="2"/>
      <scheme val="minor"/>
    </font>
    <font>
      <sz val="10"/>
      <color rgb="FF000000"/>
      <name val="Aptos Narrow"/>
      <family val="2"/>
      <scheme val="minor"/>
    </font>
    <font>
      <sz val="10"/>
      <color theme="1"/>
      <name val="Bookman Old Style"/>
      <family val="1"/>
    </font>
    <font>
      <b/>
      <sz val="11"/>
      <color theme="1"/>
      <name val="Calibri"/>
      <family val="2"/>
    </font>
    <font>
      <b/>
      <sz val="10"/>
      <color theme="1"/>
      <name val="Calibri"/>
      <family val="2"/>
    </font>
    <font>
      <sz val="12"/>
      <color rgb="FF000000"/>
      <name val="Aptos Narrow"/>
      <family val="2"/>
      <scheme val="minor"/>
    </font>
    <font>
      <sz val="12"/>
      <color rgb="FF006100"/>
      <name val="Aptos Narrow"/>
      <family val="2"/>
    </font>
    <font>
      <sz val="12"/>
      <color rgb="FF9C0006"/>
      <name val="Aptos Narrow"/>
      <family val="2"/>
    </font>
    <font>
      <sz val="12"/>
      <color rgb="FF9C5700"/>
      <name val="Aptos Narrow"/>
      <family val="2"/>
    </font>
    <font>
      <b/>
      <sz val="18"/>
      <color rgb="FFFFFFFF"/>
      <name val="Bookman Old Style"/>
      <family val="1"/>
    </font>
  </fonts>
  <fills count="13">
    <fill>
      <patternFill patternType="none"/>
    </fill>
    <fill>
      <patternFill patternType="gray125"/>
    </fill>
    <fill>
      <patternFill patternType="solid">
        <fgColor rgb="FFD9E2F3"/>
        <bgColor indexed="64"/>
      </patternFill>
    </fill>
    <fill>
      <patternFill patternType="solid">
        <fgColor rgb="FFFFFFFF"/>
        <bgColor indexed="64"/>
      </patternFill>
    </fill>
    <fill>
      <patternFill patternType="solid">
        <fgColor rgb="FFFEF2CB"/>
        <bgColor rgb="FFFEF2CB"/>
      </patternFill>
    </fill>
    <fill>
      <patternFill patternType="solid">
        <fgColor rgb="FFFFD965"/>
        <bgColor rgb="FFFFD965"/>
      </patternFill>
    </fill>
    <fill>
      <patternFill patternType="solid">
        <fgColor theme="0"/>
        <bgColor rgb="FFFFFFFF"/>
      </patternFill>
    </fill>
    <fill>
      <patternFill patternType="solid">
        <fgColor theme="0"/>
        <bgColor indexed="64"/>
      </patternFill>
    </fill>
    <fill>
      <patternFill patternType="solid">
        <fgColor theme="0"/>
        <bgColor theme="0"/>
      </patternFill>
    </fill>
    <fill>
      <patternFill patternType="solid">
        <fgColor theme="3" tint="0.249977111117893"/>
        <bgColor indexed="64"/>
      </patternFill>
    </fill>
    <fill>
      <patternFill patternType="solid">
        <fgColor theme="0" tint="-0.499984740745262"/>
        <bgColor indexed="64"/>
      </patternFill>
    </fill>
    <fill>
      <patternFill patternType="solid">
        <fgColor rgb="FF0097CC"/>
        <bgColor indexed="64"/>
      </patternFill>
    </fill>
    <fill>
      <patternFill patternType="solid">
        <fgColor theme="4" tint="0.39997558519241921"/>
        <bgColor indexed="64"/>
      </patternFill>
    </fill>
  </fills>
  <borders count="34">
    <border>
      <left/>
      <right/>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top style="thick">
        <color rgb="FF000000"/>
      </top>
      <bottom style="thick">
        <color rgb="FF000000"/>
      </bottom>
      <diagonal/>
    </border>
    <border>
      <left/>
      <right style="thick">
        <color rgb="FF000000"/>
      </right>
      <top style="thick">
        <color rgb="FF000000"/>
      </top>
      <bottom/>
      <diagonal/>
    </border>
    <border>
      <left style="thick">
        <color rgb="FF000000"/>
      </left>
      <right style="thick">
        <color rgb="FF000000"/>
      </right>
      <top/>
      <bottom/>
      <diagonal/>
    </border>
    <border>
      <left/>
      <right style="thick">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thick">
        <color rgb="FF000000"/>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s>
  <cellStyleXfs count="4">
    <xf numFmtId="0" fontId="0" fillId="0" borderId="0"/>
    <xf numFmtId="42" fontId="1" fillId="0" borderId="0" applyFont="0" applyFill="0" applyBorder="0" applyAlignment="0" applyProtection="0"/>
    <xf numFmtId="9" fontId="1" fillId="0" borderId="0" applyFont="0" applyFill="0" applyBorder="0" applyAlignment="0" applyProtection="0"/>
    <xf numFmtId="0" fontId="8" fillId="0" borderId="0"/>
  </cellStyleXfs>
  <cellXfs count="193">
    <xf numFmtId="0" fontId="0" fillId="0" borderId="0" xfId="0"/>
    <xf numFmtId="9" fontId="0" fillId="0" borderId="0" xfId="0" applyNumberFormat="1"/>
    <xf numFmtId="9" fontId="4" fillId="0" borderId="0" xfId="0" applyNumberFormat="1" applyFont="1" applyAlignment="1">
      <alignment horizontal="center" vertical="center" wrapText="1"/>
    </xf>
    <xf numFmtId="9" fontId="4" fillId="0" borderId="0" xfId="2"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1" fontId="4"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 fontId="0" fillId="0" borderId="0" xfId="0" applyNumberFormat="1"/>
    <xf numFmtId="0" fontId="14" fillId="7" borderId="10" xfId="0" applyFont="1" applyFill="1" applyBorder="1" applyAlignment="1">
      <alignment horizontal="center" vertical="center" wrapText="1"/>
    </xf>
    <xf numFmtId="0" fontId="15" fillId="7" borderId="10" xfId="0" applyFont="1" applyFill="1" applyBorder="1" applyAlignment="1">
      <alignment horizontal="center" vertical="center" wrapText="1"/>
    </xf>
    <xf numFmtId="0" fontId="13" fillId="6" borderId="9" xfId="3" applyFont="1" applyFill="1" applyBorder="1" applyAlignment="1">
      <alignment horizontal="center" vertical="center" wrapText="1"/>
    </xf>
    <xf numFmtId="0" fontId="14" fillId="7" borderId="9" xfId="0" applyFont="1" applyFill="1" applyBorder="1" applyAlignment="1">
      <alignment horizontal="center" vertical="center" wrapText="1"/>
    </xf>
    <xf numFmtId="9" fontId="15" fillId="7" borderId="10" xfId="0" applyNumberFormat="1" applyFont="1" applyFill="1" applyBorder="1" applyAlignment="1">
      <alignment horizontal="center" vertical="center" wrapText="1"/>
    </xf>
    <xf numFmtId="0" fontId="13" fillId="6" borderId="17" xfId="3" applyFont="1" applyFill="1" applyBorder="1" applyAlignment="1">
      <alignment horizontal="center" vertical="center" wrapText="1"/>
    </xf>
    <xf numFmtId="0" fontId="14" fillId="7" borderId="17" xfId="0" applyFont="1" applyFill="1" applyBorder="1" applyAlignment="1">
      <alignment horizontal="center" vertical="center" wrapText="1"/>
    </xf>
    <xf numFmtId="0" fontId="14" fillId="7" borderId="15" xfId="0" applyFont="1" applyFill="1" applyBorder="1" applyAlignment="1">
      <alignment horizontal="center" vertical="center" wrapText="1"/>
    </xf>
    <xf numFmtId="9" fontId="15" fillId="0" borderId="10" xfId="0" applyNumberFormat="1" applyFont="1" applyBorder="1" applyAlignment="1">
      <alignment horizontal="center" vertical="center"/>
    </xf>
    <xf numFmtId="0" fontId="15" fillId="7" borderId="9" xfId="0" applyFont="1" applyFill="1" applyBorder="1" applyAlignment="1">
      <alignment horizontal="center" vertical="center" wrapText="1"/>
    </xf>
    <xf numFmtId="1" fontId="15" fillId="0" borderId="10" xfId="0" applyNumberFormat="1" applyFont="1" applyBorder="1" applyAlignment="1">
      <alignment horizontal="center" vertical="center"/>
    </xf>
    <xf numFmtId="0" fontId="15" fillId="8" borderId="10" xfId="0" applyFont="1" applyFill="1" applyBorder="1" applyAlignment="1">
      <alignment horizontal="center" vertical="center" wrapText="1"/>
    </xf>
    <xf numFmtId="0" fontId="13" fillId="6" borderId="11" xfId="3" applyFont="1" applyFill="1" applyBorder="1" applyAlignment="1">
      <alignment horizontal="center" vertical="center" wrapText="1"/>
    </xf>
    <xf numFmtId="0" fontId="14" fillId="7" borderId="11" xfId="0" applyFont="1" applyFill="1" applyBorder="1" applyAlignment="1">
      <alignment horizontal="center" vertical="center" wrapText="1"/>
    </xf>
    <xf numFmtId="0" fontId="14" fillId="7" borderId="12" xfId="0" applyFont="1" applyFill="1" applyBorder="1" applyAlignment="1">
      <alignment horizontal="center" vertical="center" wrapText="1"/>
    </xf>
    <xf numFmtId="0" fontId="15" fillId="7" borderId="12" xfId="0" applyFont="1" applyFill="1" applyBorder="1" applyAlignment="1">
      <alignment horizontal="center" vertical="center" wrapText="1"/>
    </xf>
    <xf numFmtId="9" fontId="15" fillId="7" borderId="12" xfId="0" applyNumberFormat="1"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19" fillId="0" borderId="10" xfId="0" applyFont="1" applyBorder="1" applyAlignment="1">
      <alignment horizontal="center" vertical="center"/>
    </xf>
    <xf numFmtId="1" fontId="19" fillId="0" borderId="10" xfId="0" applyNumberFormat="1" applyFont="1" applyBorder="1" applyAlignment="1">
      <alignment horizontal="center" vertical="center"/>
    </xf>
    <xf numFmtId="9" fontId="19" fillId="0" borderId="10" xfId="0" applyNumberFormat="1" applyFont="1" applyBorder="1" applyAlignment="1">
      <alignment horizontal="center" vertical="center"/>
    </xf>
    <xf numFmtId="42" fontId="19" fillId="0" borderId="10" xfId="1" applyFont="1" applyBorder="1" applyAlignment="1">
      <alignment horizontal="center" vertical="center"/>
    </xf>
    <xf numFmtId="9" fontId="20" fillId="0" borderId="10" xfId="0" applyNumberFormat="1" applyFont="1" applyBorder="1" applyAlignment="1">
      <alignment horizontal="center" vertical="center" wrapText="1"/>
    </xf>
    <xf numFmtId="0" fontId="21" fillId="0" borderId="10" xfId="0" applyFont="1" applyBorder="1" applyAlignment="1">
      <alignment horizontal="center" vertical="center" wrapText="1"/>
    </xf>
    <xf numFmtId="0" fontId="17" fillId="0" borderId="10" xfId="0" applyFont="1" applyBorder="1" applyAlignment="1">
      <alignment horizontal="center" vertical="center" wrapText="1"/>
    </xf>
    <xf numFmtId="42" fontId="19" fillId="0" borderId="10" xfId="1" applyFont="1" applyBorder="1" applyAlignment="1">
      <alignment horizontal="center" vertical="center" wrapText="1"/>
    </xf>
    <xf numFmtId="9" fontId="18" fillId="0" borderId="10" xfId="0" applyNumberFormat="1" applyFont="1" applyBorder="1" applyAlignment="1">
      <alignment horizontal="center" vertical="center" wrapText="1"/>
    </xf>
    <xf numFmtId="9" fontId="18" fillId="0" borderId="10" xfId="2" applyFont="1" applyFill="1" applyBorder="1" applyAlignment="1">
      <alignment horizontal="center" vertical="center" wrapText="1"/>
    </xf>
    <xf numFmtId="3" fontId="18" fillId="0" borderId="10" xfId="0" applyNumberFormat="1" applyFont="1" applyBorder="1" applyAlignment="1">
      <alignment horizontal="center" vertical="center" wrapText="1"/>
    </xf>
    <xf numFmtId="1" fontId="18" fillId="0" borderId="10" xfId="0" applyNumberFormat="1" applyFont="1" applyBorder="1" applyAlignment="1">
      <alignment horizontal="center" vertical="center" wrapText="1"/>
    </xf>
    <xf numFmtId="3" fontId="18" fillId="0" borderId="12" xfId="0" applyNumberFormat="1" applyFont="1" applyBorder="1" applyAlignment="1">
      <alignment horizontal="center" vertical="center" wrapText="1"/>
    </xf>
    <xf numFmtId="0" fontId="17" fillId="6" borderId="7" xfId="3" applyFont="1" applyFill="1" applyBorder="1" applyAlignment="1">
      <alignment vertical="center" wrapText="1"/>
    </xf>
    <xf numFmtId="0" fontId="17" fillId="6" borderId="8" xfId="3" applyFont="1" applyFill="1" applyBorder="1" applyAlignment="1">
      <alignment vertical="center" wrapText="1"/>
    </xf>
    <xf numFmtId="0" fontId="20" fillId="7" borderId="7" xfId="0" applyFont="1" applyFill="1" applyBorder="1" applyAlignment="1">
      <alignment vertical="center" wrapText="1"/>
    </xf>
    <xf numFmtId="0" fontId="20" fillId="7" borderId="8" xfId="0" applyFont="1" applyFill="1" applyBorder="1" applyAlignment="1">
      <alignment vertical="center" wrapText="1"/>
    </xf>
    <xf numFmtId="0" fontId="18" fillId="7" borderId="8" xfId="0" applyFont="1" applyFill="1" applyBorder="1" applyAlignment="1">
      <alignment vertical="center" wrapText="1"/>
    </xf>
    <xf numFmtId="0" fontId="21" fillId="0" borderId="16" xfId="0" applyFont="1" applyBorder="1" applyAlignment="1">
      <alignment horizontal="center" vertical="center"/>
    </xf>
    <xf numFmtId="0" fontId="21" fillId="0" borderId="8" xfId="0" applyFont="1" applyBorder="1" applyAlignment="1">
      <alignment horizontal="center" vertical="center"/>
    </xf>
    <xf numFmtId="0" fontId="17" fillId="6" borderId="10" xfId="3" applyFont="1" applyFill="1" applyBorder="1" applyAlignment="1">
      <alignment horizontal="center" vertical="center" wrapText="1"/>
    </xf>
    <xf numFmtId="0" fontId="20" fillId="6" borderId="10" xfId="3" applyFont="1" applyFill="1" applyBorder="1" applyAlignment="1">
      <alignment horizontal="center" vertical="center" wrapText="1"/>
    </xf>
    <xf numFmtId="0" fontId="20" fillId="6" borderId="10" xfId="0" applyFont="1" applyFill="1" applyBorder="1" applyAlignment="1">
      <alignment horizontal="center" vertical="center" wrapText="1"/>
    </xf>
    <xf numFmtId="3" fontId="20" fillId="6" borderId="10" xfId="3" applyNumberFormat="1" applyFont="1" applyFill="1" applyBorder="1" applyAlignment="1">
      <alignment horizontal="center" vertical="center" wrapText="1"/>
    </xf>
    <xf numFmtId="0" fontId="20" fillId="7" borderId="10" xfId="0" applyFont="1" applyFill="1" applyBorder="1" applyAlignment="1">
      <alignment horizontal="center" vertical="center" wrapText="1"/>
    </xf>
    <xf numFmtId="0" fontId="18" fillId="7" borderId="10" xfId="0" applyFont="1" applyFill="1" applyBorder="1" applyAlignment="1">
      <alignment horizontal="center" vertical="center" wrapText="1"/>
    </xf>
    <xf numFmtId="9" fontId="20" fillId="6" borderId="10" xfId="3" applyNumberFormat="1" applyFont="1" applyFill="1" applyBorder="1" applyAlignment="1">
      <alignment horizontal="center" vertical="center" wrapText="1"/>
    </xf>
    <xf numFmtId="0" fontId="17" fillId="6" borderId="9" xfId="3" applyFont="1" applyFill="1" applyBorder="1" applyAlignment="1">
      <alignment horizontal="center" vertical="center" wrapText="1"/>
    </xf>
    <xf numFmtId="0" fontId="20" fillId="7" borderId="9" xfId="0" applyFont="1" applyFill="1" applyBorder="1" applyAlignment="1">
      <alignment horizontal="center" vertical="center" wrapText="1"/>
    </xf>
    <xf numFmtId="9" fontId="18" fillId="7" borderId="10" xfId="0" applyNumberFormat="1" applyFont="1" applyFill="1" applyBorder="1" applyAlignment="1">
      <alignment horizontal="center" vertical="center" wrapText="1"/>
    </xf>
    <xf numFmtId="0" fontId="17" fillId="6" borderId="18" xfId="3" applyFont="1" applyFill="1" applyBorder="1" applyAlignment="1">
      <alignment horizontal="center" vertical="center" wrapText="1"/>
    </xf>
    <xf numFmtId="0" fontId="17" fillId="7" borderId="12" xfId="0" applyFont="1" applyFill="1" applyBorder="1" applyAlignment="1">
      <alignment horizontal="center" vertical="center" wrapText="1"/>
    </xf>
    <xf numFmtId="0" fontId="25" fillId="0" borderId="10" xfId="0" applyFont="1" applyBorder="1" applyAlignment="1">
      <alignment horizontal="center" vertical="center" wrapText="1"/>
    </xf>
    <xf numFmtId="0" fontId="26" fillId="0" borderId="10" xfId="0" applyFont="1" applyBorder="1" applyAlignment="1">
      <alignment horizontal="center" vertical="center" wrapText="1"/>
    </xf>
    <xf numFmtId="14" fontId="26" fillId="0" borderId="10" xfId="0" applyNumberFormat="1" applyFont="1" applyBorder="1" applyAlignment="1">
      <alignment horizontal="center" vertical="center" wrapText="1"/>
    </xf>
    <xf numFmtId="0" fontId="26" fillId="0" borderId="10" xfId="0" applyFont="1" applyBorder="1" applyAlignment="1">
      <alignment vertical="center" wrapText="1"/>
    </xf>
    <xf numFmtId="0" fontId="12" fillId="7" borderId="8" xfId="0" applyFont="1" applyFill="1" applyBorder="1" applyAlignment="1">
      <alignment horizontal="center" vertical="center"/>
    </xf>
    <xf numFmtId="0" fontId="20" fillId="0" borderId="10" xfId="0" applyFont="1" applyBorder="1" applyAlignment="1">
      <alignment vertical="center" wrapText="1"/>
    </xf>
    <xf numFmtId="42" fontId="19" fillId="0" borderId="10" xfId="1" applyFont="1" applyFill="1" applyBorder="1" applyAlignment="1">
      <alignment horizontal="center" vertical="center"/>
    </xf>
    <xf numFmtId="0" fontId="18" fillId="0" borderId="10" xfId="0" applyFont="1" applyBorder="1" applyAlignment="1">
      <alignment wrapText="1"/>
    </xf>
    <xf numFmtId="0" fontId="18" fillId="0" borderId="10" xfId="0" applyFont="1" applyBorder="1" applyAlignment="1">
      <alignment vertical="center" wrapText="1"/>
    </xf>
    <xf numFmtId="0" fontId="12" fillId="7" borderId="10" xfId="0" applyFont="1" applyFill="1" applyBorder="1" applyAlignment="1">
      <alignment horizontal="center" vertical="center"/>
    </xf>
    <xf numFmtId="0" fontId="6" fillId="0" borderId="25" xfId="0" applyFont="1" applyBorder="1" applyAlignment="1">
      <alignment vertical="center" wrapText="1"/>
    </xf>
    <xf numFmtId="0" fontId="6" fillId="3" borderId="26" xfId="0" applyFont="1" applyFill="1" applyBorder="1" applyAlignment="1">
      <alignment vertical="center" wrapText="1"/>
    </xf>
    <xf numFmtId="0" fontId="0" fillId="0" borderId="10" xfId="0" applyBorder="1"/>
    <xf numFmtId="0" fontId="0" fillId="0" borderId="10" xfId="0" applyBorder="1" applyAlignment="1">
      <alignment wrapText="1"/>
    </xf>
    <xf numFmtId="0" fontId="18" fillId="0" borderId="28" xfId="0" applyFont="1" applyBorder="1" applyAlignment="1">
      <alignment horizontal="center" vertical="center"/>
    </xf>
    <xf numFmtId="0" fontId="18" fillId="0" borderId="15" xfId="0" applyFont="1" applyBorder="1" applyAlignment="1">
      <alignment horizontal="center" vertical="center" wrapText="1"/>
    </xf>
    <xf numFmtId="0" fontId="27" fillId="0" borderId="10" xfId="0" applyFont="1" applyBorder="1" applyAlignment="1">
      <alignment horizontal="center" vertical="center" wrapText="1"/>
    </xf>
    <xf numFmtId="0" fontId="0" fillId="0" borderId="10" xfId="0" applyBorder="1" applyAlignment="1">
      <alignment horizontal="center" vertical="center"/>
    </xf>
    <xf numFmtId="9" fontId="0" fillId="0" borderId="10" xfId="2" applyFont="1" applyBorder="1" applyAlignment="1">
      <alignment horizontal="center" vertical="center"/>
    </xf>
    <xf numFmtId="9" fontId="0" fillId="0" borderId="10" xfId="0" applyNumberFormat="1" applyBorder="1" applyAlignment="1">
      <alignment horizontal="center" vertical="center"/>
    </xf>
    <xf numFmtId="9" fontId="0" fillId="0" borderId="10" xfId="2" applyFont="1" applyBorder="1" applyAlignment="1">
      <alignment horizontal="center" vertical="center" wrapText="1"/>
    </xf>
    <xf numFmtId="42" fontId="30" fillId="0" borderId="10" xfId="0" applyNumberFormat="1" applyFont="1" applyBorder="1" applyAlignment="1">
      <alignment horizontal="center" vertical="center"/>
    </xf>
    <xf numFmtId="42" fontId="0" fillId="0" borderId="10" xfId="1" applyFont="1" applyFill="1" applyBorder="1" applyAlignment="1">
      <alignment horizontal="center" vertical="center"/>
    </xf>
    <xf numFmtId="42" fontId="0" fillId="0" borderId="10" xfId="1" applyFont="1" applyBorder="1" applyAlignment="1">
      <alignment horizontal="center" vertical="center"/>
    </xf>
    <xf numFmtId="42" fontId="0" fillId="0" borderId="10" xfId="0" applyNumberFormat="1" applyBorder="1" applyAlignment="1">
      <alignment horizontal="center" vertical="center"/>
    </xf>
    <xf numFmtId="1" fontId="0" fillId="0" borderId="10" xfId="2" applyNumberFormat="1" applyFont="1" applyBorder="1" applyAlignment="1">
      <alignment horizontal="center" vertical="center"/>
    </xf>
    <xf numFmtId="6" fontId="19" fillId="0" borderId="10" xfId="1" applyNumberFormat="1" applyFont="1" applyBorder="1" applyAlignment="1">
      <alignment horizontal="center" vertical="center"/>
    </xf>
    <xf numFmtId="10" fontId="4" fillId="0" borderId="10" xfId="0" applyNumberFormat="1" applyFont="1" applyBorder="1" applyAlignment="1">
      <alignment horizontal="center" vertical="center"/>
    </xf>
    <xf numFmtId="10" fontId="4" fillId="0" borderId="10" xfId="2" applyNumberFormat="1" applyFont="1" applyBorder="1" applyAlignment="1">
      <alignment horizontal="center" vertical="center"/>
    </xf>
    <xf numFmtId="9" fontId="0" fillId="0" borderId="10" xfId="0" applyNumberFormat="1" applyBorder="1" applyAlignment="1">
      <alignment horizontal="center" vertical="center" wrapText="1"/>
    </xf>
    <xf numFmtId="0" fontId="0" fillId="0" borderId="10" xfId="0" applyBorder="1" applyAlignment="1">
      <alignment horizontal="center" vertical="center" wrapText="1"/>
    </xf>
    <xf numFmtId="42" fontId="0" fillId="0" borderId="10" xfId="1" applyFont="1" applyBorder="1" applyAlignment="1">
      <alignment horizontal="center" vertical="center" wrapText="1"/>
    </xf>
    <xf numFmtId="42" fontId="0" fillId="0" borderId="10" xfId="0" applyNumberFormat="1" applyBorder="1" applyAlignment="1">
      <alignment horizontal="center" vertical="center" wrapText="1"/>
    </xf>
    <xf numFmtId="164" fontId="0" fillId="0" borderId="10" xfId="2" applyNumberFormat="1" applyFont="1" applyBorder="1" applyAlignment="1">
      <alignment horizontal="center" vertical="center"/>
    </xf>
    <xf numFmtId="0" fontId="2" fillId="2" borderId="1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8" fillId="0" borderId="10" xfId="0" applyFont="1" applyBorder="1" applyAlignment="1">
      <alignment horizontal="center" vertical="center" wrapText="1"/>
    </xf>
    <xf numFmtId="0" fontId="22" fillId="0" borderId="10" xfId="0" applyFont="1" applyBorder="1" applyAlignment="1">
      <alignment horizontal="center" vertical="center"/>
    </xf>
    <xf numFmtId="0" fontId="18" fillId="0" borderId="10" xfId="0" applyFont="1" applyBorder="1" applyAlignment="1">
      <alignment horizontal="center" vertical="center"/>
    </xf>
    <xf numFmtId="0" fontId="18" fillId="0" borderId="27" xfId="0" applyFont="1" applyBorder="1" applyAlignment="1">
      <alignment horizontal="center" vertical="center" wrapText="1"/>
    </xf>
    <xf numFmtId="0" fontId="18" fillId="0" borderId="27" xfId="0" applyFont="1" applyBorder="1" applyAlignment="1">
      <alignment horizontal="center" vertical="center"/>
    </xf>
    <xf numFmtId="9" fontId="19" fillId="0" borderId="15" xfId="0" applyNumberFormat="1" applyFont="1" applyBorder="1" applyAlignment="1">
      <alignment horizontal="center" vertical="center"/>
    </xf>
    <xf numFmtId="0" fontId="19" fillId="0" borderId="16" xfId="0" applyFont="1" applyBorder="1" applyAlignment="1">
      <alignment horizontal="center" vertical="center"/>
    </xf>
    <xf numFmtId="0" fontId="19" fillId="0" borderId="8" xfId="0" applyFont="1" applyBorder="1" applyAlignment="1">
      <alignment horizontal="center" vertical="center"/>
    </xf>
    <xf numFmtId="9" fontId="19" fillId="0" borderId="10" xfId="0" applyNumberFormat="1" applyFont="1" applyBorder="1" applyAlignment="1">
      <alignment horizontal="center" vertical="center"/>
    </xf>
    <xf numFmtId="0" fontId="19" fillId="0" borderId="10" xfId="0" applyFont="1" applyBorder="1" applyAlignment="1">
      <alignment horizontal="center" vertical="center"/>
    </xf>
    <xf numFmtId="0" fontId="3" fillId="4" borderId="10"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11" fillId="9" borderId="0" xfId="0" applyFont="1" applyFill="1" applyAlignment="1">
      <alignment horizontal="center" vertical="center" wrapText="1"/>
    </xf>
    <xf numFmtId="0" fontId="29" fillId="11" borderId="22" xfId="0" applyFont="1" applyFill="1" applyBorder="1" applyAlignment="1">
      <alignment horizontal="center" vertical="center" wrapText="1"/>
    </xf>
    <xf numFmtId="0" fontId="29" fillId="11" borderId="25" xfId="0" applyFont="1" applyFill="1" applyBorder="1" applyAlignment="1">
      <alignment horizontal="center" vertical="center" wrapText="1"/>
    </xf>
    <xf numFmtId="0" fontId="28" fillId="11" borderId="22" xfId="0" applyFont="1" applyFill="1" applyBorder="1" applyAlignment="1">
      <alignment horizontal="center" vertical="center" wrapText="1"/>
    </xf>
    <xf numFmtId="0" fontId="28" fillId="11" borderId="25" xfId="0" applyFont="1" applyFill="1" applyBorder="1" applyAlignment="1">
      <alignment horizontal="center" vertical="center" wrapText="1"/>
    </xf>
    <xf numFmtId="0" fontId="6" fillId="0" borderId="24"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5" xfId="0" applyFont="1" applyBorder="1" applyAlignment="1">
      <alignment horizontal="center" vertical="center" wrapText="1"/>
    </xf>
    <xf numFmtId="0" fontId="6" fillId="3" borderId="23"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3" borderId="20" xfId="0" applyFont="1" applyFill="1" applyBorder="1" applyAlignment="1">
      <alignment horizontal="center" vertical="center" wrapText="1"/>
    </xf>
    <xf numFmtId="9" fontId="29" fillId="11" borderId="22" xfId="2" applyFont="1" applyFill="1" applyBorder="1" applyAlignment="1">
      <alignment horizontal="center" vertical="center" wrapText="1"/>
    </xf>
    <xf numFmtId="9" fontId="29" fillId="11" borderId="25" xfId="2" applyFont="1" applyFill="1" applyBorder="1" applyAlignment="1">
      <alignment horizontal="center" vertical="center" wrapText="1"/>
    </xf>
    <xf numFmtId="0" fontId="17" fillId="6" borderId="9" xfId="3" applyFont="1" applyFill="1" applyBorder="1" applyAlignment="1">
      <alignment horizontal="center" vertical="center" wrapText="1"/>
    </xf>
    <xf numFmtId="0" fontId="22" fillId="7" borderId="9" xfId="3" applyFont="1" applyFill="1" applyBorder="1" applyAlignment="1">
      <alignment horizontal="center" vertical="center"/>
    </xf>
    <xf numFmtId="0" fontId="17" fillId="6" borderId="10" xfId="3" applyFont="1" applyFill="1" applyBorder="1" applyAlignment="1">
      <alignment horizontal="center" vertical="center" wrapText="1"/>
    </xf>
    <xf numFmtId="0" fontId="22" fillId="7" borderId="10" xfId="3" applyFont="1" applyFill="1" applyBorder="1" applyAlignment="1">
      <alignment horizontal="center" vertical="center"/>
    </xf>
    <xf numFmtId="0" fontId="21" fillId="6" borderId="9" xfId="3"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0" fillId="7" borderId="9" xfId="0" applyFont="1" applyFill="1" applyBorder="1" applyAlignment="1">
      <alignment horizontal="center" vertical="center" wrapText="1"/>
    </xf>
    <xf numFmtId="0" fontId="21" fillId="7" borderId="9" xfId="0" applyFont="1" applyFill="1" applyBorder="1" applyAlignment="1">
      <alignment horizontal="center" vertical="center"/>
    </xf>
    <xf numFmtId="0" fontId="13" fillId="6" borderId="9" xfId="3" applyFont="1" applyFill="1" applyBorder="1" applyAlignment="1">
      <alignment horizontal="center" vertical="center" wrapText="1"/>
    </xf>
    <xf numFmtId="0" fontId="14" fillId="7" borderId="9"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2" fillId="7" borderId="10" xfId="0" applyFont="1" applyFill="1" applyBorder="1" applyAlignment="1">
      <alignment horizontal="center" vertical="center"/>
    </xf>
    <xf numFmtId="0" fontId="18" fillId="7" borderId="9" xfId="0" applyFont="1" applyFill="1" applyBorder="1" applyAlignment="1">
      <alignment horizontal="center" vertical="center" wrapText="1"/>
    </xf>
    <xf numFmtId="0" fontId="16" fillId="7" borderId="9" xfId="3" applyFont="1" applyFill="1" applyBorder="1" applyAlignment="1">
      <alignment horizontal="center" vertical="center"/>
    </xf>
    <xf numFmtId="0" fontId="12" fillId="7" borderId="9" xfId="0" applyFont="1" applyFill="1" applyBorder="1" applyAlignment="1">
      <alignment horizontal="center" vertical="center"/>
    </xf>
    <xf numFmtId="0" fontId="14" fillId="7" borderId="15" xfId="0" applyFont="1" applyFill="1" applyBorder="1" applyAlignment="1">
      <alignment horizontal="center" vertical="center" wrapText="1"/>
    </xf>
    <xf numFmtId="0" fontId="14" fillId="7" borderId="16"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20" fillId="6" borderId="15" xfId="3" applyFont="1" applyFill="1" applyBorder="1" applyAlignment="1">
      <alignment horizontal="center" vertical="center" wrapText="1"/>
    </xf>
    <xf numFmtId="0" fontId="20" fillId="6" borderId="8" xfId="3" applyFont="1" applyFill="1" applyBorder="1" applyAlignment="1">
      <alignment horizontal="center" vertical="center" wrapText="1"/>
    </xf>
    <xf numFmtId="0" fontId="20" fillId="7" borderId="15" xfId="0" applyFont="1" applyFill="1" applyBorder="1" applyAlignment="1">
      <alignment horizontal="center" vertical="center" wrapText="1"/>
    </xf>
    <xf numFmtId="0" fontId="20" fillId="7" borderId="16"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3" fillId="5" borderId="12" xfId="0" applyFont="1" applyFill="1" applyBorder="1" applyAlignment="1">
      <alignment horizontal="center" vertical="center" wrapText="1"/>
    </xf>
    <xf numFmtId="9" fontId="15" fillId="7" borderId="10" xfId="0" applyNumberFormat="1" applyFont="1" applyFill="1" applyBorder="1" applyAlignment="1">
      <alignment horizontal="center" vertical="center" wrapText="1"/>
    </xf>
    <xf numFmtId="0" fontId="20" fillId="6" borderId="10" xfId="3" applyFont="1" applyFill="1" applyBorder="1" applyAlignment="1">
      <alignment horizontal="center" vertical="center" wrapText="1"/>
    </xf>
    <xf numFmtId="0" fontId="21" fillId="7" borderId="10" xfId="3" applyFont="1" applyFill="1" applyBorder="1" applyAlignment="1">
      <alignment horizontal="center" vertical="center"/>
    </xf>
    <xf numFmtId="0" fontId="24" fillId="10" borderId="19" xfId="0" applyFont="1" applyFill="1" applyBorder="1" applyAlignment="1">
      <alignment horizontal="center"/>
    </xf>
    <xf numFmtId="0" fontId="0" fillId="10" borderId="19" xfId="0" applyFill="1" applyBorder="1" applyAlignment="1">
      <alignment horizontal="center"/>
    </xf>
    <xf numFmtId="0" fontId="11" fillId="9" borderId="0" xfId="0" applyFont="1" applyFill="1" applyAlignment="1">
      <alignment vertical="center" wrapText="1"/>
    </xf>
    <xf numFmtId="9" fontId="29" fillId="11" borderId="29" xfId="2" applyFont="1" applyFill="1" applyBorder="1" applyAlignment="1">
      <alignment horizontal="center" vertical="center" wrapText="1"/>
    </xf>
    <xf numFmtId="0" fontId="29" fillId="11" borderId="30" xfId="0" applyFont="1" applyFill="1" applyBorder="1" applyAlignment="1">
      <alignment horizontal="center" vertical="center" wrapText="1"/>
    </xf>
    <xf numFmtId="0" fontId="28" fillId="11" borderId="29" xfId="0" applyFont="1" applyFill="1" applyBorder="1" applyAlignment="1">
      <alignment horizontal="center" vertical="center" wrapText="1"/>
    </xf>
    <xf numFmtId="9" fontId="29" fillId="11" borderId="31" xfId="2" applyFont="1" applyFill="1" applyBorder="1" applyAlignment="1">
      <alignment horizontal="center" vertical="center" wrapText="1"/>
    </xf>
    <xf numFmtId="0" fontId="29" fillId="11" borderId="0" xfId="0" applyFont="1" applyFill="1" applyBorder="1" applyAlignment="1">
      <alignment horizontal="center" vertical="center" wrapText="1"/>
    </xf>
    <xf numFmtId="0" fontId="28" fillId="11" borderId="31" xfId="0" applyFont="1" applyFill="1" applyBorder="1" applyAlignment="1">
      <alignment horizontal="center" vertical="center" wrapText="1"/>
    </xf>
    <xf numFmtId="9" fontId="29" fillId="11" borderId="32" xfId="2" applyFont="1" applyFill="1" applyBorder="1" applyAlignment="1">
      <alignment horizontal="center" vertical="center" wrapText="1"/>
    </xf>
    <xf numFmtId="0" fontId="28" fillId="11" borderId="32" xfId="0" applyFont="1" applyFill="1" applyBorder="1" applyAlignment="1">
      <alignment horizontal="center" vertical="center" wrapText="1"/>
    </xf>
    <xf numFmtId="0" fontId="0" fillId="0" borderId="8" xfId="0" applyBorder="1"/>
    <xf numFmtId="0" fontId="0" fillId="0" borderId="8" xfId="0" applyBorder="1" applyAlignment="1">
      <alignment horizontal="center" vertical="center" wrapText="1"/>
    </xf>
    <xf numFmtId="0" fontId="0" fillId="0" borderId="15" xfId="0" applyBorder="1" applyAlignment="1">
      <alignment horizontal="center" vertical="center" wrapText="1"/>
    </xf>
    <xf numFmtId="0" fontId="0" fillId="0" borderId="8" xfId="0" applyBorder="1" applyAlignment="1">
      <alignment horizontal="center" vertical="center" wrapText="1"/>
    </xf>
    <xf numFmtId="0" fontId="14" fillId="0" borderId="10" xfId="0" applyFont="1" applyBorder="1" applyAlignment="1">
      <alignment horizontal="center" vertical="center" wrapText="1"/>
    </xf>
    <xf numFmtId="0" fontId="15" fillId="0" borderId="10" xfId="0" applyFont="1" applyBorder="1" applyAlignment="1">
      <alignment horizontal="center" vertical="center" wrapText="1"/>
    </xf>
    <xf numFmtId="0" fontId="34" fillId="12" borderId="33" xfId="0" applyFont="1" applyFill="1" applyBorder="1" applyAlignment="1">
      <alignment horizontal="center" vertical="center" wrapText="1"/>
    </xf>
    <xf numFmtId="0" fontId="34" fillId="12" borderId="0" xfId="0" applyFont="1" applyFill="1" applyBorder="1" applyAlignment="1">
      <alignment horizontal="center" vertical="center" wrapText="1"/>
    </xf>
    <xf numFmtId="9" fontId="0" fillId="0" borderId="0" xfId="2" applyFont="1"/>
    <xf numFmtId="9" fontId="0" fillId="0" borderId="0" xfId="0" applyNumberFormat="1" applyBorder="1" applyAlignment="1">
      <alignment horizontal="center" vertical="center" wrapText="1"/>
    </xf>
    <xf numFmtId="0" fontId="0" fillId="0" borderId="0" xfId="0" applyBorder="1"/>
    <xf numFmtId="0" fontId="34" fillId="7" borderId="0" xfId="0" applyFont="1" applyFill="1" applyBorder="1" applyAlignment="1">
      <alignment vertical="center" wrapText="1"/>
    </xf>
    <xf numFmtId="0" fontId="0" fillId="0" borderId="0" xfId="0" applyAlignment="1">
      <alignment vertical="center"/>
    </xf>
    <xf numFmtId="0" fontId="0" fillId="0" borderId="10" xfId="0" applyBorder="1" applyAlignment="1">
      <alignment vertical="center"/>
    </xf>
    <xf numFmtId="0" fontId="0" fillId="0" borderId="10" xfId="0" applyBorder="1" applyAlignment="1">
      <alignment vertical="center" wrapText="1"/>
    </xf>
    <xf numFmtId="9" fontId="0" fillId="0" borderId="10" xfId="0" applyNumberFormat="1" applyBorder="1" applyAlignment="1">
      <alignment vertical="center"/>
    </xf>
  </cellXfs>
  <cellStyles count="4">
    <cellStyle name="Moneda [0]" xfId="1" builtinId="7"/>
    <cellStyle name="Normal" xfId="0" builtinId="0"/>
    <cellStyle name="Normal 2" xfId="3" xr:uid="{00000000-0005-0000-0000-000002000000}"/>
    <cellStyle name="Porcentaje" xfId="2" builtin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561975</xdr:colOff>
      <xdr:row>1</xdr:row>
      <xdr:rowOff>257174</xdr:rowOff>
    </xdr:from>
    <xdr:to>
      <xdr:col>1</xdr:col>
      <xdr:colOff>1543050</xdr:colOff>
      <xdr:row>3</xdr:row>
      <xdr:rowOff>48259</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5" y="447674"/>
          <a:ext cx="2238375" cy="8007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609600</xdr:colOff>
      <xdr:row>2</xdr:row>
      <xdr:rowOff>57149</xdr:rowOff>
    </xdr:from>
    <xdr:to>
      <xdr:col>1</xdr:col>
      <xdr:colOff>1314450</xdr:colOff>
      <xdr:row>3</xdr:row>
      <xdr:rowOff>29209</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438149"/>
          <a:ext cx="2219325" cy="76263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51"/>
  <sheetViews>
    <sheetView topLeftCell="C1" zoomScale="75" workbookViewId="0">
      <selection activeCell="R3" sqref="R3:Z3"/>
    </sheetView>
  </sheetViews>
  <sheetFormatPr baseColWidth="10" defaultRowHeight="15"/>
  <cols>
    <col min="1" max="1" width="14.6640625" customWidth="1"/>
    <col min="2" max="2" width="20.44140625" customWidth="1"/>
    <col min="3" max="3" width="22.77734375" bestFit="1" customWidth="1"/>
    <col min="4" max="4" width="18.109375" bestFit="1" customWidth="1"/>
    <col min="5" max="5" width="17.109375" bestFit="1" customWidth="1"/>
    <col min="6" max="6" width="24.44140625" customWidth="1"/>
    <col min="7" max="7" width="15.33203125" bestFit="1" customWidth="1"/>
    <col min="8" max="8" width="13" bestFit="1" customWidth="1"/>
    <col min="9" max="9" width="15.33203125" bestFit="1" customWidth="1"/>
    <col min="10" max="10" width="14.109375" bestFit="1" customWidth="1"/>
    <col min="11" max="12" width="15.33203125" bestFit="1" customWidth="1"/>
    <col min="13" max="13" width="14.109375" bestFit="1" customWidth="1"/>
    <col min="14" max="17" width="0" hidden="1" customWidth="1"/>
    <col min="18" max="18" width="38.33203125" customWidth="1"/>
    <col min="19" max="22" width="0" hidden="1" customWidth="1"/>
    <col min="24" max="25" width="0" hidden="1" customWidth="1"/>
    <col min="26" max="26" width="16.77734375" customWidth="1"/>
  </cols>
  <sheetData>
    <row r="2" spans="1:26" ht="23.25" customHeight="1"/>
    <row r="3" spans="1:26" ht="56.25" customHeight="1">
      <c r="C3" s="168" t="s">
        <v>276</v>
      </c>
      <c r="D3" s="168"/>
      <c r="E3" s="168"/>
      <c r="F3" s="168"/>
      <c r="G3" s="168"/>
      <c r="H3" s="168"/>
      <c r="I3" s="168"/>
      <c r="J3" s="168"/>
      <c r="K3" s="168"/>
      <c r="L3" s="168"/>
      <c r="M3" s="168"/>
      <c r="N3" s="168"/>
      <c r="O3" s="168"/>
      <c r="P3" s="168"/>
      <c r="Q3" s="168"/>
      <c r="R3" s="183" t="s">
        <v>344</v>
      </c>
      <c r="S3" s="184"/>
      <c r="T3" s="184"/>
      <c r="U3" s="184"/>
      <c r="V3" s="184"/>
      <c r="W3" s="184"/>
      <c r="X3" s="184"/>
      <c r="Y3" s="184"/>
      <c r="Z3" s="184"/>
    </row>
    <row r="4" spans="1:26" ht="15.75" thickBot="1"/>
    <row r="5" spans="1:26" ht="32.1" customHeight="1" thickTop="1" thickBot="1">
      <c r="A5" s="95" t="s">
        <v>0</v>
      </c>
      <c r="B5" s="98" t="s">
        <v>1</v>
      </c>
      <c r="C5" s="98" t="s">
        <v>2</v>
      </c>
      <c r="D5" s="98" t="s">
        <v>3</v>
      </c>
      <c r="E5" s="98" t="s">
        <v>4</v>
      </c>
      <c r="F5" s="98" t="s">
        <v>5</v>
      </c>
      <c r="G5" s="117" t="s">
        <v>277</v>
      </c>
      <c r="H5" s="117"/>
      <c r="I5" s="129" t="s">
        <v>292</v>
      </c>
      <c r="J5" s="129"/>
      <c r="K5" s="129"/>
      <c r="L5" s="130"/>
      <c r="M5" s="125" t="s">
        <v>291</v>
      </c>
      <c r="N5" s="127" t="s">
        <v>293</v>
      </c>
      <c r="O5" s="131"/>
      <c r="P5" s="131"/>
      <c r="Q5" s="128"/>
      <c r="R5" s="121" t="s">
        <v>294</v>
      </c>
      <c r="S5" s="132" t="s">
        <v>295</v>
      </c>
      <c r="T5" s="119" t="s">
        <v>296</v>
      </c>
      <c r="U5" s="121" t="s">
        <v>297</v>
      </c>
      <c r="V5" s="121" t="s">
        <v>298</v>
      </c>
      <c r="W5" s="169" t="s">
        <v>295</v>
      </c>
      <c r="X5" s="170" t="s">
        <v>296</v>
      </c>
      <c r="Y5" s="171" t="s">
        <v>297</v>
      </c>
      <c r="Z5" s="171" t="s">
        <v>298</v>
      </c>
    </row>
    <row r="6" spans="1:26" ht="15.95" customHeight="1" thickTop="1" thickBot="1">
      <c r="A6" s="96"/>
      <c r="B6" s="99"/>
      <c r="C6" s="99"/>
      <c r="D6" s="99"/>
      <c r="E6" s="99"/>
      <c r="F6" s="99"/>
      <c r="G6" s="113" t="s">
        <v>156</v>
      </c>
      <c r="H6" s="115" t="s">
        <v>157</v>
      </c>
      <c r="I6" s="123" t="s">
        <v>299</v>
      </c>
      <c r="J6" s="125" t="s">
        <v>300</v>
      </c>
      <c r="K6" s="125" t="s">
        <v>301</v>
      </c>
      <c r="L6" s="125" t="s">
        <v>302</v>
      </c>
      <c r="M6" s="126"/>
      <c r="N6" s="127" t="s">
        <v>152</v>
      </c>
      <c r="O6" s="128"/>
      <c r="P6" s="127" t="s">
        <v>153</v>
      </c>
      <c r="Q6" s="128"/>
      <c r="R6" s="122"/>
      <c r="S6" s="133"/>
      <c r="T6" s="120"/>
      <c r="U6" s="122"/>
      <c r="V6" s="122"/>
      <c r="W6" s="172"/>
      <c r="X6" s="173"/>
      <c r="Y6" s="174"/>
      <c r="Z6" s="174"/>
    </row>
    <row r="7" spans="1:26" ht="17.100000000000001" customHeight="1" thickTop="1" thickBot="1">
      <c r="A7" s="97"/>
      <c r="B7" s="100"/>
      <c r="C7" s="100"/>
      <c r="D7" s="100"/>
      <c r="E7" s="100"/>
      <c r="F7" s="100"/>
      <c r="G7" s="114"/>
      <c r="H7" s="116"/>
      <c r="I7" s="124"/>
      <c r="J7" s="126"/>
      <c r="K7" s="126"/>
      <c r="L7" s="126"/>
      <c r="M7" s="126"/>
      <c r="N7" s="71" t="s">
        <v>154</v>
      </c>
      <c r="O7" s="72" t="s">
        <v>155</v>
      </c>
      <c r="P7" s="72" t="s">
        <v>154</v>
      </c>
      <c r="Q7" s="72" t="s">
        <v>155</v>
      </c>
      <c r="R7" s="122"/>
      <c r="S7" s="133"/>
      <c r="T7" s="120"/>
      <c r="U7" s="122"/>
      <c r="V7" s="122"/>
      <c r="W7" s="175"/>
      <c r="X7" s="173"/>
      <c r="Y7" s="176"/>
      <c r="Z7" s="176"/>
    </row>
    <row r="8" spans="1:26" ht="77.25" customHeight="1">
      <c r="A8" s="101" t="s">
        <v>6</v>
      </c>
      <c r="B8" s="101" t="s">
        <v>7</v>
      </c>
      <c r="C8" s="26" t="s">
        <v>8</v>
      </c>
      <c r="D8" s="26" t="s">
        <v>9</v>
      </c>
      <c r="E8" s="26" t="s">
        <v>10</v>
      </c>
      <c r="F8" s="26" t="s">
        <v>11</v>
      </c>
      <c r="G8" s="65">
        <v>3</v>
      </c>
      <c r="H8" s="70">
        <v>2</v>
      </c>
      <c r="I8" s="78">
        <v>0</v>
      </c>
      <c r="J8" s="78">
        <v>0</v>
      </c>
      <c r="K8" s="78">
        <v>0</v>
      </c>
      <c r="L8" s="91">
        <v>3</v>
      </c>
      <c r="M8" s="90">
        <v>1</v>
      </c>
      <c r="N8" s="73"/>
      <c r="O8" s="73"/>
      <c r="P8" s="73"/>
      <c r="Q8" s="73"/>
      <c r="R8" s="74" t="s">
        <v>318</v>
      </c>
      <c r="S8" s="73"/>
      <c r="T8" s="73"/>
      <c r="U8" s="73"/>
      <c r="V8" s="73"/>
      <c r="W8" s="90">
        <v>1</v>
      </c>
      <c r="X8" s="73"/>
      <c r="Y8" s="177"/>
      <c r="Z8" s="181" t="s">
        <v>345</v>
      </c>
    </row>
    <row r="9" spans="1:26" ht="81">
      <c r="A9" s="102"/>
      <c r="B9" s="102"/>
      <c r="C9" s="103" t="s">
        <v>12</v>
      </c>
      <c r="D9" s="27" t="s">
        <v>13</v>
      </c>
      <c r="E9" s="27" t="s">
        <v>14</v>
      </c>
      <c r="F9" s="28" t="s">
        <v>15</v>
      </c>
      <c r="G9" s="29">
        <v>1</v>
      </c>
      <c r="H9" s="29">
        <v>1</v>
      </c>
      <c r="I9" s="78">
        <v>0</v>
      </c>
      <c r="J9" s="78">
        <v>0</v>
      </c>
      <c r="K9" s="78">
        <v>0</v>
      </c>
      <c r="L9" s="91">
        <v>1</v>
      </c>
      <c r="M9" s="90">
        <v>1</v>
      </c>
      <c r="N9" s="73"/>
      <c r="O9" s="73"/>
      <c r="P9" s="73"/>
      <c r="Q9" s="73"/>
      <c r="R9" s="74" t="s">
        <v>319</v>
      </c>
      <c r="S9" s="73"/>
      <c r="T9" s="73"/>
      <c r="U9" s="73"/>
      <c r="V9" s="73"/>
      <c r="W9" s="90">
        <v>1</v>
      </c>
      <c r="X9" s="73"/>
      <c r="Y9" s="73"/>
      <c r="Z9" s="181" t="s">
        <v>345</v>
      </c>
    </row>
    <row r="10" spans="1:26" ht="67.5">
      <c r="A10" s="102"/>
      <c r="B10" s="102"/>
      <c r="C10" s="103"/>
      <c r="D10" s="27" t="s">
        <v>16</v>
      </c>
      <c r="E10" s="27" t="s">
        <v>17</v>
      </c>
      <c r="F10" s="27" t="s">
        <v>18</v>
      </c>
      <c r="G10" s="30">
        <v>302</v>
      </c>
      <c r="H10" s="31">
        <v>0.15</v>
      </c>
      <c r="I10" s="78">
        <v>653</v>
      </c>
      <c r="J10" s="78">
        <v>0</v>
      </c>
      <c r="K10" s="78">
        <f>640+26</f>
        <v>666</v>
      </c>
      <c r="L10" s="91">
        <v>0</v>
      </c>
      <c r="M10" s="90">
        <v>1</v>
      </c>
      <c r="N10" s="73"/>
      <c r="O10" s="73"/>
      <c r="P10" s="73"/>
      <c r="Q10" s="73"/>
      <c r="R10" s="74"/>
      <c r="S10" s="73"/>
      <c r="T10" s="73"/>
      <c r="U10" s="73"/>
      <c r="V10" s="73"/>
      <c r="W10" s="90">
        <v>1</v>
      </c>
      <c r="X10" s="73"/>
      <c r="Y10" s="73"/>
      <c r="Z10" s="181" t="s">
        <v>345</v>
      </c>
    </row>
    <row r="11" spans="1:26" ht="54">
      <c r="A11" s="102"/>
      <c r="B11" s="102"/>
      <c r="C11" s="27" t="s">
        <v>19</v>
      </c>
      <c r="D11" s="27" t="s">
        <v>20</v>
      </c>
      <c r="E11" s="27" t="s">
        <v>21</v>
      </c>
      <c r="F11" s="27" t="s">
        <v>15</v>
      </c>
      <c r="G11" s="29">
        <v>0</v>
      </c>
      <c r="H11" s="31">
        <v>0.15</v>
      </c>
      <c r="I11" s="80">
        <v>0.15</v>
      </c>
      <c r="J11" s="78">
        <v>0</v>
      </c>
      <c r="K11" s="78">
        <v>0</v>
      </c>
      <c r="L11" s="91">
        <v>0</v>
      </c>
      <c r="M11" s="90">
        <v>1</v>
      </c>
      <c r="N11" s="73"/>
      <c r="O11" s="73"/>
      <c r="P11" s="73"/>
      <c r="Q11" s="73"/>
      <c r="R11" s="74" t="s">
        <v>320</v>
      </c>
      <c r="S11" s="73"/>
      <c r="T11" s="73"/>
      <c r="U11" s="73"/>
      <c r="V11" s="73"/>
      <c r="W11" s="90">
        <v>1</v>
      </c>
      <c r="X11" s="73"/>
      <c r="Y11" s="73"/>
      <c r="Z11" s="181" t="s">
        <v>345</v>
      </c>
    </row>
    <row r="12" spans="1:26" ht="135">
      <c r="A12" s="102"/>
      <c r="B12" s="102"/>
      <c r="C12" s="27" t="s">
        <v>22</v>
      </c>
      <c r="D12" s="27" t="s">
        <v>23</v>
      </c>
      <c r="E12" s="27" t="s">
        <v>24</v>
      </c>
      <c r="F12" s="27" t="s">
        <v>25</v>
      </c>
      <c r="G12" s="29">
        <v>2</v>
      </c>
      <c r="H12" s="29">
        <v>2</v>
      </c>
      <c r="I12" s="78">
        <v>0</v>
      </c>
      <c r="J12" s="78">
        <v>0</v>
      </c>
      <c r="K12" s="78">
        <v>0</v>
      </c>
      <c r="L12" s="91">
        <v>6</v>
      </c>
      <c r="M12" s="90">
        <v>1</v>
      </c>
      <c r="N12" s="73"/>
      <c r="O12" s="73"/>
      <c r="P12" s="73"/>
      <c r="Q12" s="73"/>
      <c r="R12" s="74" t="s">
        <v>321</v>
      </c>
      <c r="S12" s="73"/>
      <c r="T12" s="73"/>
      <c r="U12" s="73"/>
      <c r="V12" s="73"/>
      <c r="W12" s="90">
        <v>1</v>
      </c>
      <c r="X12" s="73"/>
      <c r="Y12" s="73"/>
      <c r="Z12" s="181" t="s">
        <v>345</v>
      </c>
    </row>
    <row r="13" spans="1:26" ht="78.75" customHeight="1">
      <c r="A13" s="102"/>
      <c r="B13" s="102"/>
      <c r="C13" s="28" t="s">
        <v>26</v>
      </c>
      <c r="D13" s="28" t="s">
        <v>27</v>
      </c>
      <c r="E13" s="28" t="s">
        <v>28</v>
      </c>
      <c r="F13" s="27" t="s">
        <v>29</v>
      </c>
      <c r="G13" s="32">
        <f>271381040*(1+10%)</f>
        <v>298519144</v>
      </c>
      <c r="H13" s="31">
        <v>0.11</v>
      </c>
      <c r="I13" s="82">
        <v>252411453</v>
      </c>
      <c r="J13" s="83">
        <v>12226089</v>
      </c>
      <c r="K13" s="84">
        <v>601782978</v>
      </c>
      <c r="L13" s="92">
        <v>229321396</v>
      </c>
      <c r="M13" s="90">
        <v>1</v>
      </c>
      <c r="N13" s="73"/>
      <c r="O13" s="73"/>
      <c r="P13" s="73"/>
      <c r="Q13" s="73"/>
      <c r="R13" s="74"/>
      <c r="S13" s="73"/>
      <c r="T13" s="73"/>
      <c r="U13" s="73"/>
      <c r="V13" s="73"/>
      <c r="W13" s="90">
        <v>1</v>
      </c>
      <c r="X13" s="73"/>
      <c r="Y13" s="73"/>
      <c r="Z13" s="181" t="s">
        <v>345</v>
      </c>
    </row>
    <row r="14" spans="1:26" ht="99" customHeight="1">
      <c r="A14" s="102"/>
      <c r="B14" s="102"/>
      <c r="C14" s="28" t="s">
        <v>30</v>
      </c>
      <c r="D14" s="28" t="s">
        <v>31</v>
      </c>
      <c r="E14" s="28" t="s">
        <v>32</v>
      </c>
      <c r="F14" s="28" t="s">
        <v>33</v>
      </c>
      <c r="G14" s="27">
        <v>0</v>
      </c>
      <c r="H14" s="27">
        <v>1</v>
      </c>
      <c r="I14" s="78">
        <v>0</v>
      </c>
      <c r="J14" s="78">
        <v>0</v>
      </c>
      <c r="K14" s="78">
        <v>0</v>
      </c>
      <c r="L14" s="91">
        <v>0</v>
      </c>
      <c r="M14" s="90">
        <v>0</v>
      </c>
      <c r="N14" s="73"/>
      <c r="O14" s="73"/>
      <c r="P14" s="73"/>
      <c r="Q14" s="73"/>
      <c r="R14" s="74" t="s">
        <v>322</v>
      </c>
      <c r="S14" s="73"/>
      <c r="T14" s="73"/>
      <c r="U14" s="73"/>
      <c r="V14" s="73"/>
      <c r="W14" s="90">
        <v>0</v>
      </c>
      <c r="X14" s="73"/>
      <c r="Y14" s="73"/>
      <c r="Z14" s="181" t="s">
        <v>345</v>
      </c>
    </row>
    <row r="15" spans="1:26" ht="82.5">
      <c r="A15" s="102"/>
      <c r="B15" s="102"/>
      <c r="C15" s="28" t="s">
        <v>34</v>
      </c>
      <c r="D15" s="28" t="s">
        <v>35</v>
      </c>
      <c r="E15" s="28" t="s">
        <v>36</v>
      </c>
      <c r="F15" s="28" t="s">
        <v>37</v>
      </c>
      <c r="G15" s="33">
        <v>0.25</v>
      </c>
      <c r="H15" s="33">
        <v>0.5</v>
      </c>
      <c r="I15" s="78">
        <v>0</v>
      </c>
      <c r="J15" s="78">
        <v>0</v>
      </c>
      <c r="K15" s="78">
        <v>0</v>
      </c>
      <c r="L15" s="91">
        <v>0</v>
      </c>
      <c r="M15" s="90">
        <v>0</v>
      </c>
      <c r="N15" s="73"/>
      <c r="O15" s="73"/>
      <c r="P15" s="73"/>
      <c r="Q15" s="73"/>
      <c r="R15" s="74"/>
      <c r="S15" s="73"/>
      <c r="T15" s="73"/>
      <c r="U15" s="73"/>
      <c r="V15" s="73"/>
      <c r="W15" s="90">
        <v>0</v>
      </c>
      <c r="X15" s="73"/>
      <c r="Y15" s="73"/>
      <c r="Z15" s="181" t="s">
        <v>346</v>
      </c>
    </row>
    <row r="16" spans="1:26" ht="82.5">
      <c r="A16" s="102"/>
      <c r="B16" s="102"/>
      <c r="C16" s="34" t="s">
        <v>38</v>
      </c>
      <c r="D16" s="27" t="s">
        <v>39</v>
      </c>
      <c r="E16" s="34" t="s">
        <v>40</v>
      </c>
      <c r="F16" s="34" t="s">
        <v>41</v>
      </c>
      <c r="G16" s="28">
        <v>88</v>
      </c>
      <c r="H16" s="28">
        <v>90</v>
      </c>
      <c r="I16" s="78">
        <v>85</v>
      </c>
      <c r="J16" s="78">
        <v>0</v>
      </c>
      <c r="K16" s="78">
        <v>0</v>
      </c>
      <c r="L16" s="91">
        <v>0</v>
      </c>
      <c r="M16" s="81">
        <f>I16/H16</f>
        <v>0.94444444444444442</v>
      </c>
      <c r="N16" s="73"/>
      <c r="O16" s="73"/>
      <c r="P16" s="73"/>
      <c r="Q16" s="73"/>
      <c r="R16" s="74" t="s">
        <v>323</v>
      </c>
      <c r="S16" s="73"/>
      <c r="T16" s="73"/>
      <c r="U16" s="73"/>
      <c r="V16" s="73"/>
      <c r="W16" s="81" t="e">
        <f>S16/R16</f>
        <v>#VALUE!</v>
      </c>
      <c r="X16" s="73"/>
      <c r="Y16" s="73"/>
      <c r="Z16" s="181" t="s">
        <v>346</v>
      </c>
    </row>
    <row r="17" spans="1:26" ht="49.5">
      <c r="A17" s="102"/>
      <c r="B17" s="102"/>
      <c r="C17" s="28" t="s">
        <v>42</v>
      </c>
      <c r="D17" s="28" t="s">
        <v>43</v>
      </c>
      <c r="E17" s="28" t="s">
        <v>44</v>
      </c>
      <c r="F17" s="28" t="s">
        <v>44</v>
      </c>
      <c r="G17" s="28">
        <v>0</v>
      </c>
      <c r="H17" s="28">
        <v>1</v>
      </c>
      <c r="I17" s="78">
        <v>0</v>
      </c>
      <c r="J17" s="78">
        <v>0</v>
      </c>
      <c r="K17" s="78">
        <v>1</v>
      </c>
      <c r="L17" s="91">
        <v>0</v>
      </c>
      <c r="M17" s="90">
        <v>1</v>
      </c>
      <c r="N17" s="73"/>
      <c r="O17" s="73"/>
      <c r="P17" s="73"/>
      <c r="Q17" s="73"/>
      <c r="R17" s="74"/>
      <c r="S17" s="73"/>
      <c r="T17" s="73"/>
      <c r="U17" s="73"/>
      <c r="V17" s="73"/>
      <c r="W17" s="90">
        <v>1</v>
      </c>
      <c r="X17" s="73"/>
      <c r="Y17" s="73"/>
      <c r="Z17" s="181" t="s">
        <v>345</v>
      </c>
    </row>
    <row r="18" spans="1:26" ht="114.75" customHeight="1">
      <c r="A18" s="35" t="s">
        <v>45</v>
      </c>
      <c r="B18" s="35" t="s">
        <v>46</v>
      </c>
      <c r="C18" s="27" t="s">
        <v>47</v>
      </c>
      <c r="D18" s="27" t="s">
        <v>48</v>
      </c>
      <c r="E18" s="27" t="s">
        <v>49</v>
      </c>
      <c r="F18" s="27" t="s">
        <v>50</v>
      </c>
      <c r="G18" s="31">
        <v>0.8</v>
      </c>
      <c r="H18" s="31">
        <v>0.82</v>
      </c>
      <c r="I18" s="79">
        <f>3/15</f>
        <v>0.2</v>
      </c>
      <c r="J18" s="79">
        <f>1/12</f>
        <v>8.3333333333333329E-2</v>
      </c>
      <c r="K18" s="79">
        <f>2/12</f>
        <v>0.16666666666666666</v>
      </c>
      <c r="L18" s="81">
        <f>3/12</f>
        <v>0.25</v>
      </c>
      <c r="M18" s="90">
        <f>(L18+K18+J18+I18)/H18</f>
        <v>0.85365853658536583</v>
      </c>
      <c r="N18" s="73"/>
      <c r="O18" s="73"/>
      <c r="P18" s="73"/>
      <c r="Q18" s="73"/>
      <c r="R18" s="74"/>
      <c r="S18" s="73"/>
      <c r="T18" s="73"/>
      <c r="U18" s="73"/>
      <c r="V18" s="73"/>
      <c r="W18" s="90">
        <v>1</v>
      </c>
      <c r="X18" s="73"/>
      <c r="Y18" s="73"/>
      <c r="Z18" s="182" t="s">
        <v>347</v>
      </c>
    </row>
    <row r="19" spans="1:26" ht="66">
      <c r="A19" s="102" t="s">
        <v>51</v>
      </c>
      <c r="B19" s="102" t="s">
        <v>52</v>
      </c>
      <c r="C19" s="103" t="s">
        <v>53</v>
      </c>
      <c r="D19" s="103" t="s">
        <v>54</v>
      </c>
      <c r="E19" s="28" t="s">
        <v>55</v>
      </c>
      <c r="F19" s="66" t="s">
        <v>56</v>
      </c>
      <c r="G19" s="31">
        <v>0.3</v>
      </c>
      <c r="H19" s="31">
        <v>0.4</v>
      </c>
      <c r="I19" s="81">
        <f>6/34</f>
        <v>0.17647058823529413</v>
      </c>
      <c r="J19" s="81">
        <f>6/34</f>
        <v>0.17647058823529413</v>
      </c>
      <c r="K19" s="79">
        <f>4/34</f>
        <v>0.11764705882352941</v>
      </c>
      <c r="L19" s="81">
        <f>4/34</f>
        <v>0.11764705882352941</v>
      </c>
      <c r="M19" s="90">
        <f>((L19+K19+J19+I19)/4)/H19</f>
        <v>0.36764705882352938</v>
      </c>
      <c r="N19" s="73"/>
      <c r="O19" s="73"/>
      <c r="P19" s="73"/>
      <c r="Q19" s="73"/>
      <c r="R19" s="74" t="s">
        <v>313</v>
      </c>
      <c r="S19" s="73"/>
      <c r="T19" s="73"/>
      <c r="U19" s="73"/>
      <c r="V19" s="73"/>
      <c r="W19" s="90">
        <v>1</v>
      </c>
      <c r="X19" s="73"/>
      <c r="Y19" s="73"/>
      <c r="Z19" s="181" t="s">
        <v>348</v>
      </c>
    </row>
    <row r="20" spans="1:26" ht="81">
      <c r="A20" s="104"/>
      <c r="B20" s="102"/>
      <c r="C20" s="103"/>
      <c r="D20" s="103"/>
      <c r="E20" s="27" t="s">
        <v>57</v>
      </c>
      <c r="F20" s="27" t="s">
        <v>58</v>
      </c>
      <c r="G20" s="31">
        <v>0.2</v>
      </c>
      <c r="H20" s="31">
        <v>0.4</v>
      </c>
      <c r="I20" s="78">
        <v>0</v>
      </c>
      <c r="J20" s="78">
        <v>0</v>
      </c>
      <c r="K20" s="78">
        <v>0</v>
      </c>
      <c r="L20" s="91">
        <v>0</v>
      </c>
      <c r="M20" s="90">
        <v>0</v>
      </c>
      <c r="N20" s="73"/>
      <c r="O20" s="73"/>
      <c r="P20" s="73"/>
      <c r="Q20" s="73"/>
      <c r="R20" s="74" t="s">
        <v>314</v>
      </c>
      <c r="S20" s="73"/>
      <c r="T20" s="73"/>
      <c r="U20" s="73"/>
      <c r="V20" s="73"/>
      <c r="W20" s="90">
        <v>0</v>
      </c>
      <c r="X20" s="73"/>
      <c r="Y20" s="73"/>
      <c r="Z20" s="181" t="s">
        <v>348</v>
      </c>
    </row>
    <row r="21" spans="1:26" ht="109.5" customHeight="1">
      <c r="A21" s="104"/>
      <c r="B21" s="102"/>
      <c r="C21" s="27" t="s">
        <v>59</v>
      </c>
      <c r="D21" s="27" t="s">
        <v>60</v>
      </c>
      <c r="E21" s="27" t="s">
        <v>61</v>
      </c>
      <c r="F21" s="27" t="s">
        <v>62</v>
      </c>
      <c r="G21" s="67">
        <f>31370100*(1+15%)</f>
        <v>36075615</v>
      </c>
      <c r="H21" s="31">
        <v>0.2</v>
      </c>
      <c r="I21" s="84">
        <v>11823500</v>
      </c>
      <c r="J21" s="85">
        <f>26083500-I21</f>
        <v>14260000</v>
      </c>
      <c r="K21" s="85">
        <f>38299627-I21-J21</f>
        <v>12216127</v>
      </c>
      <c r="L21" s="93">
        <f>M21-(I21+J21+K21)</f>
        <v>-38299626</v>
      </c>
      <c r="M21" s="90">
        <v>1</v>
      </c>
      <c r="N21" s="73"/>
      <c r="O21" s="73"/>
      <c r="P21" s="73"/>
      <c r="Q21" s="73"/>
      <c r="R21" s="74" t="s">
        <v>316</v>
      </c>
      <c r="S21" s="73"/>
      <c r="T21" s="73"/>
      <c r="U21" s="73"/>
      <c r="V21" s="73"/>
      <c r="W21" s="90">
        <v>1</v>
      </c>
      <c r="X21" s="73"/>
      <c r="Y21" s="73"/>
      <c r="Z21" s="181" t="s">
        <v>348</v>
      </c>
    </row>
    <row r="22" spans="1:26" ht="66">
      <c r="A22" s="104"/>
      <c r="B22" s="102"/>
      <c r="C22" s="103" t="s">
        <v>52</v>
      </c>
      <c r="D22" s="27" t="s">
        <v>63</v>
      </c>
      <c r="E22" s="28" t="s">
        <v>64</v>
      </c>
      <c r="F22" s="28" t="s">
        <v>65</v>
      </c>
      <c r="G22" s="29">
        <v>60</v>
      </c>
      <c r="H22" s="29">
        <v>70</v>
      </c>
      <c r="I22" s="78">
        <v>19</v>
      </c>
      <c r="J22" s="78">
        <v>19</v>
      </c>
      <c r="K22" s="78">
        <f>25+9</f>
        <v>34</v>
      </c>
      <c r="L22" s="91">
        <v>34</v>
      </c>
      <c r="M22" s="90">
        <v>1</v>
      </c>
      <c r="N22" s="73"/>
      <c r="O22" s="73"/>
      <c r="P22" s="73"/>
      <c r="Q22" s="73"/>
      <c r="R22" s="74"/>
      <c r="S22" s="73"/>
      <c r="T22" s="73"/>
      <c r="U22" s="73"/>
      <c r="V22" s="73"/>
      <c r="W22" s="90">
        <v>1</v>
      </c>
      <c r="X22" s="73"/>
      <c r="Y22" s="73"/>
      <c r="Z22" s="181" t="s">
        <v>348</v>
      </c>
    </row>
    <row r="23" spans="1:26" ht="67.5">
      <c r="A23" s="104"/>
      <c r="B23" s="102"/>
      <c r="C23" s="103"/>
      <c r="D23" s="68" t="s">
        <v>66</v>
      </c>
      <c r="E23" s="68" t="s">
        <v>67</v>
      </c>
      <c r="F23" s="68" t="s">
        <v>68</v>
      </c>
      <c r="G23" s="29">
        <v>120</v>
      </c>
      <c r="H23" s="31">
        <v>0.2</v>
      </c>
      <c r="I23" s="86">
        <v>643</v>
      </c>
      <c r="J23" s="86">
        <v>643</v>
      </c>
      <c r="K23" s="78">
        <v>643</v>
      </c>
      <c r="L23" s="91">
        <v>643</v>
      </c>
      <c r="M23" s="90">
        <v>1</v>
      </c>
      <c r="N23" s="73"/>
      <c r="O23" s="73"/>
      <c r="P23" s="73"/>
      <c r="Q23" s="73"/>
      <c r="R23" s="74"/>
      <c r="S23" s="73"/>
      <c r="T23" s="73"/>
      <c r="U23" s="73"/>
      <c r="V23" s="73"/>
      <c r="W23" s="90">
        <v>1</v>
      </c>
      <c r="X23" s="73"/>
      <c r="Y23" s="73"/>
      <c r="Z23" s="181" t="s">
        <v>348</v>
      </c>
    </row>
    <row r="24" spans="1:26" ht="81">
      <c r="A24" s="104"/>
      <c r="B24" s="102"/>
      <c r="C24" s="103"/>
      <c r="D24" s="68" t="s">
        <v>69</v>
      </c>
      <c r="E24" s="69" t="s">
        <v>70</v>
      </c>
      <c r="F24" s="69" t="s">
        <v>15</v>
      </c>
      <c r="G24" s="31">
        <v>0.5</v>
      </c>
      <c r="H24" s="31">
        <v>0.5</v>
      </c>
      <c r="I24" s="78">
        <v>0</v>
      </c>
      <c r="J24" s="78">
        <v>0</v>
      </c>
      <c r="K24" s="79">
        <f>4/9</f>
        <v>0.44444444444444442</v>
      </c>
      <c r="L24" s="81">
        <f>5/9</f>
        <v>0.55555555555555558</v>
      </c>
      <c r="M24" s="90">
        <v>1</v>
      </c>
      <c r="N24" s="73"/>
      <c r="O24" s="73"/>
      <c r="P24" s="73"/>
      <c r="Q24" s="73"/>
      <c r="R24" s="74" t="s">
        <v>317</v>
      </c>
      <c r="S24" s="73"/>
      <c r="T24" s="73"/>
      <c r="U24" s="73"/>
      <c r="V24" s="73"/>
      <c r="W24" s="90">
        <v>1</v>
      </c>
      <c r="X24" s="73"/>
      <c r="Y24" s="73"/>
      <c r="Z24" s="181" t="s">
        <v>348</v>
      </c>
    </row>
    <row r="25" spans="1:26" ht="240">
      <c r="A25" s="104"/>
      <c r="B25" s="102"/>
      <c r="C25" s="27" t="s">
        <v>71</v>
      </c>
      <c r="D25" s="27" t="s">
        <v>72</v>
      </c>
      <c r="E25" s="27" t="s">
        <v>73</v>
      </c>
      <c r="F25" s="27" t="s">
        <v>74</v>
      </c>
      <c r="G25" s="29">
        <v>171</v>
      </c>
      <c r="H25" s="29">
        <v>257</v>
      </c>
      <c r="I25" s="78">
        <v>78</v>
      </c>
      <c r="J25" s="78">
        <v>57</v>
      </c>
      <c r="K25" s="78">
        <v>70</v>
      </c>
      <c r="L25" s="91">
        <f>M25-(I25+J25+K25)</f>
        <v>-204</v>
      </c>
      <c r="M25" s="90">
        <v>1</v>
      </c>
      <c r="N25" s="73"/>
      <c r="O25" s="73"/>
      <c r="P25" s="73"/>
      <c r="Q25" s="73"/>
      <c r="R25" s="74" t="s">
        <v>315</v>
      </c>
      <c r="S25" s="73"/>
      <c r="T25" s="73"/>
      <c r="U25" s="73"/>
      <c r="V25" s="73"/>
      <c r="W25" s="90">
        <v>1</v>
      </c>
      <c r="X25" s="73"/>
      <c r="Y25" s="73"/>
      <c r="Z25" s="181" t="s">
        <v>348</v>
      </c>
    </row>
    <row r="26" spans="1:26" ht="108" customHeight="1">
      <c r="A26" s="102" t="s">
        <v>75</v>
      </c>
      <c r="B26" s="102" t="s">
        <v>76</v>
      </c>
      <c r="C26" s="103" t="s">
        <v>77</v>
      </c>
      <c r="D26" s="27" t="s">
        <v>78</v>
      </c>
      <c r="E26" s="27" t="s">
        <v>79</v>
      </c>
      <c r="F26" s="27" t="s">
        <v>80</v>
      </c>
      <c r="G26" s="29">
        <v>1</v>
      </c>
      <c r="H26" s="29">
        <v>1</v>
      </c>
      <c r="I26" s="78">
        <v>1</v>
      </c>
      <c r="J26" s="78">
        <v>1</v>
      </c>
      <c r="K26" s="78">
        <v>1</v>
      </c>
      <c r="L26" s="91">
        <v>1</v>
      </c>
      <c r="M26" s="90">
        <v>1</v>
      </c>
      <c r="N26" s="73"/>
      <c r="O26" s="73"/>
      <c r="P26" s="73"/>
      <c r="Q26" s="73"/>
      <c r="R26" s="74" t="s">
        <v>330</v>
      </c>
      <c r="S26" s="73"/>
      <c r="T26" s="73"/>
      <c r="U26" s="73"/>
      <c r="V26" s="73"/>
      <c r="W26" s="90">
        <v>1</v>
      </c>
      <c r="X26" s="73"/>
      <c r="Y26" s="73"/>
      <c r="Z26" s="181" t="s">
        <v>349</v>
      </c>
    </row>
    <row r="27" spans="1:26" ht="168" customHeight="1">
      <c r="A27" s="104"/>
      <c r="B27" s="104"/>
      <c r="C27" s="105"/>
      <c r="D27" s="27" t="s">
        <v>81</v>
      </c>
      <c r="E27" s="27" t="s">
        <v>82</v>
      </c>
      <c r="F27" s="27" t="s">
        <v>83</v>
      </c>
      <c r="G27" s="29">
        <v>6</v>
      </c>
      <c r="H27" s="29">
        <v>6</v>
      </c>
      <c r="I27" s="78">
        <v>1</v>
      </c>
      <c r="J27" s="78">
        <v>2</v>
      </c>
      <c r="K27" s="78">
        <v>2</v>
      </c>
      <c r="L27" s="91">
        <v>1</v>
      </c>
      <c r="M27" s="90">
        <v>1</v>
      </c>
      <c r="N27" s="73"/>
      <c r="O27" s="73"/>
      <c r="P27" s="73"/>
      <c r="Q27" s="73"/>
      <c r="R27" s="74" t="s">
        <v>331</v>
      </c>
      <c r="S27" s="73"/>
      <c r="T27" s="73"/>
      <c r="U27" s="73"/>
      <c r="V27" s="73"/>
      <c r="W27" s="90">
        <v>1</v>
      </c>
      <c r="X27" s="73"/>
      <c r="Y27" s="73"/>
      <c r="Z27" s="181" t="s">
        <v>349</v>
      </c>
    </row>
    <row r="28" spans="1:26" ht="168.75" customHeight="1">
      <c r="A28" s="104"/>
      <c r="B28" s="104"/>
      <c r="C28" s="105"/>
      <c r="D28" s="27" t="s">
        <v>84</v>
      </c>
      <c r="E28" s="27" t="s">
        <v>85</v>
      </c>
      <c r="F28" s="27" t="s">
        <v>86</v>
      </c>
      <c r="G28" s="29">
        <v>7</v>
      </c>
      <c r="H28" s="29">
        <v>9</v>
      </c>
      <c r="I28" s="78">
        <v>0</v>
      </c>
      <c r="J28" s="78">
        <v>3</v>
      </c>
      <c r="K28" s="78">
        <v>2</v>
      </c>
      <c r="L28" s="91">
        <v>5</v>
      </c>
      <c r="M28" s="90">
        <v>1</v>
      </c>
      <c r="N28" s="73"/>
      <c r="O28" s="73"/>
      <c r="P28" s="73"/>
      <c r="Q28" s="73"/>
      <c r="R28" s="74"/>
      <c r="S28" s="73"/>
      <c r="T28" s="73"/>
      <c r="U28" s="73"/>
      <c r="V28" s="73"/>
      <c r="W28" s="90">
        <v>1</v>
      </c>
      <c r="X28" s="73"/>
      <c r="Y28" s="73"/>
      <c r="Z28" s="181" t="s">
        <v>349</v>
      </c>
    </row>
    <row r="29" spans="1:26" ht="73.5" customHeight="1">
      <c r="A29" s="104"/>
      <c r="B29" s="104"/>
      <c r="C29" s="27" t="s">
        <v>87</v>
      </c>
      <c r="D29" s="27" t="s">
        <v>88</v>
      </c>
      <c r="E29" s="27" t="s">
        <v>89</v>
      </c>
      <c r="F29" s="27" t="s">
        <v>90</v>
      </c>
      <c r="G29" s="36">
        <v>20270170</v>
      </c>
      <c r="H29" s="32">
        <v>24324204</v>
      </c>
      <c r="I29" s="87">
        <v>13306000</v>
      </c>
      <c r="J29" s="84">
        <v>5482100</v>
      </c>
      <c r="K29" s="84">
        <v>22098600</v>
      </c>
      <c r="L29" s="91">
        <v>42420560</v>
      </c>
      <c r="M29" s="93">
        <f>L29+K29+J29+I29</f>
        <v>83307260</v>
      </c>
      <c r="N29" s="73"/>
      <c r="O29" s="73"/>
      <c r="P29" s="73"/>
      <c r="Q29" s="73"/>
      <c r="R29" s="74"/>
      <c r="S29" s="73"/>
      <c r="T29" s="73"/>
      <c r="U29" s="73"/>
      <c r="V29" s="73"/>
      <c r="W29" s="93">
        <f>V29+U29+T29+S29</f>
        <v>0</v>
      </c>
      <c r="X29" s="73"/>
      <c r="Y29" s="73"/>
      <c r="Z29" s="181" t="s">
        <v>349</v>
      </c>
    </row>
    <row r="30" spans="1:26" ht="110.25" customHeight="1">
      <c r="A30" s="35" t="s">
        <v>91</v>
      </c>
      <c r="B30" s="35" t="s">
        <v>92</v>
      </c>
      <c r="C30" s="27" t="s">
        <v>93</v>
      </c>
      <c r="D30" s="27" t="s">
        <v>94</v>
      </c>
      <c r="E30" s="27" t="s">
        <v>95</v>
      </c>
      <c r="F30" s="27" t="s">
        <v>96</v>
      </c>
      <c r="G30" s="29">
        <v>7</v>
      </c>
      <c r="H30" s="29">
        <v>9</v>
      </c>
      <c r="I30" s="78">
        <v>0</v>
      </c>
      <c r="J30" s="78">
        <v>2</v>
      </c>
      <c r="K30" s="78">
        <v>2</v>
      </c>
      <c r="L30" s="91">
        <v>5</v>
      </c>
      <c r="M30" s="90">
        <v>1</v>
      </c>
      <c r="N30" s="73"/>
      <c r="O30" s="73"/>
      <c r="P30" s="73"/>
      <c r="Q30" s="73"/>
      <c r="R30" s="74"/>
      <c r="S30" s="73"/>
      <c r="T30" s="73"/>
      <c r="U30" s="73"/>
      <c r="V30" s="73"/>
      <c r="W30" s="90">
        <v>1</v>
      </c>
      <c r="X30" s="73"/>
      <c r="Y30" s="73"/>
      <c r="Z30" s="182" t="s">
        <v>350</v>
      </c>
    </row>
    <row r="31" spans="1:26" ht="105">
      <c r="A31" s="102" t="s">
        <v>97</v>
      </c>
      <c r="B31" s="102" t="s">
        <v>98</v>
      </c>
      <c r="C31" s="103" t="s">
        <v>99</v>
      </c>
      <c r="D31" s="27" t="s">
        <v>278</v>
      </c>
      <c r="E31" s="103" t="s">
        <v>100</v>
      </c>
      <c r="F31" s="103" t="s">
        <v>101</v>
      </c>
      <c r="G31" s="108">
        <v>0.25</v>
      </c>
      <c r="H31" s="111">
        <v>0.5</v>
      </c>
      <c r="I31" s="88">
        <f>5/13</f>
        <v>0.38461538461538464</v>
      </c>
      <c r="J31" s="79">
        <f>3/13</f>
        <v>0.23076923076923078</v>
      </c>
      <c r="K31" s="79">
        <f>4/13</f>
        <v>0.30769230769230771</v>
      </c>
      <c r="L31" s="81">
        <f>1/13</f>
        <v>7.6923076923076927E-2</v>
      </c>
      <c r="M31" s="90">
        <v>1</v>
      </c>
      <c r="N31" s="73"/>
      <c r="O31" s="73"/>
      <c r="P31" s="73"/>
      <c r="Q31" s="73"/>
      <c r="R31" s="74" t="s">
        <v>307</v>
      </c>
      <c r="S31" s="73"/>
      <c r="T31" s="73"/>
      <c r="U31" s="73"/>
      <c r="V31" s="73"/>
      <c r="W31" s="90">
        <v>1</v>
      </c>
      <c r="X31" s="73"/>
      <c r="Y31" s="73"/>
      <c r="Z31" s="182" t="s">
        <v>351</v>
      </c>
    </row>
    <row r="32" spans="1:26" ht="105.95" customHeight="1">
      <c r="A32" s="102"/>
      <c r="B32" s="102"/>
      <c r="C32" s="103"/>
      <c r="D32" s="27" t="s">
        <v>102</v>
      </c>
      <c r="E32" s="103"/>
      <c r="F32" s="103"/>
      <c r="G32" s="109"/>
      <c r="H32" s="112"/>
      <c r="I32" s="88">
        <f>0/8</f>
        <v>0</v>
      </c>
      <c r="J32" s="79">
        <f>1/8</f>
        <v>0.125</v>
      </c>
      <c r="K32" s="79">
        <f>4/8</f>
        <v>0.5</v>
      </c>
      <c r="L32" s="81">
        <f>3/8</f>
        <v>0.375</v>
      </c>
      <c r="M32" s="90">
        <v>1</v>
      </c>
      <c r="N32" s="73"/>
      <c r="O32" s="73"/>
      <c r="P32" s="73"/>
      <c r="Q32" s="73"/>
      <c r="R32" s="74" t="s">
        <v>308</v>
      </c>
      <c r="S32" s="73"/>
      <c r="T32" s="73"/>
      <c r="U32" s="73"/>
      <c r="V32" s="73"/>
      <c r="W32" s="90">
        <v>1</v>
      </c>
      <c r="X32" s="73"/>
      <c r="Y32" s="73"/>
      <c r="Z32" s="182" t="s">
        <v>351</v>
      </c>
    </row>
    <row r="33" spans="1:26" ht="78.95" customHeight="1">
      <c r="A33" s="102"/>
      <c r="B33" s="102"/>
      <c r="C33" s="103"/>
      <c r="D33" s="27" t="s">
        <v>103</v>
      </c>
      <c r="E33" s="103"/>
      <c r="F33" s="103"/>
      <c r="G33" s="109"/>
      <c r="H33" s="112"/>
      <c r="I33" s="88">
        <f>5/18</f>
        <v>0.27777777777777779</v>
      </c>
      <c r="J33" s="79">
        <f>2/18</f>
        <v>0.1111111111111111</v>
      </c>
      <c r="K33" s="79">
        <f>10/18</f>
        <v>0.55555555555555558</v>
      </c>
      <c r="L33" s="81">
        <f>1/18</f>
        <v>5.5555555555555552E-2</v>
      </c>
      <c r="M33" s="90">
        <v>1</v>
      </c>
      <c r="N33" s="73"/>
      <c r="O33" s="73"/>
      <c r="P33" s="73"/>
      <c r="Q33" s="73"/>
      <c r="R33" s="74" t="s">
        <v>309</v>
      </c>
      <c r="S33" s="73"/>
      <c r="T33" s="73"/>
      <c r="U33" s="73"/>
      <c r="V33" s="73"/>
      <c r="W33" s="90">
        <v>1</v>
      </c>
      <c r="X33" s="73"/>
      <c r="Y33" s="73"/>
      <c r="Z33" s="182" t="s">
        <v>351</v>
      </c>
    </row>
    <row r="34" spans="1:26" ht="93" customHeight="1">
      <c r="A34" s="102"/>
      <c r="B34" s="102"/>
      <c r="C34" s="103"/>
      <c r="D34" s="27" t="s">
        <v>104</v>
      </c>
      <c r="E34" s="103"/>
      <c r="F34" s="103"/>
      <c r="G34" s="109"/>
      <c r="H34" s="112"/>
      <c r="I34" s="89">
        <f>3/9</f>
        <v>0.33333333333333331</v>
      </c>
      <c r="J34" s="79">
        <f>2/9</f>
        <v>0.22222222222222221</v>
      </c>
      <c r="K34" s="79">
        <f>1/9</f>
        <v>0.1111111111111111</v>
      </c>
      <c r="L34" s="81">
        <f>1/9</f>
        <v>0.1111111111111111</v>
      </c>
      <c r="M34" s="90">
        <v>1</v>
      </c>
      <c r="N34" s="73"/>
      <c r="O34" s="73"/>
      <c r="P34" s="73"/>
      <c r="Q34" s="73"/>
      <c r="R34" s="74" t="s">
        <v>310</v>
      </c>
      <c r="S34" s="73"/>
      <c r="T34" s="73"/>
      <c r="U34" s="73"/>
      <c r="V34" s="73"/>
      <c r="W34" s="90">
        <v>1</v>
      </c>
      <c r="Z34" s="182" t="s">
        <v>351</v>
      </c>
    </row>
    <row r="35" spans="1:26" ht="96" customHeight="1">
      <c r="A35" s="102"/>
      <c r="B35" s="102"/>
      <c r="C35" s="103"/>
      <c r="D35" s="27" t="s">
        <v>105</v>
      </c>
      <c r="E35" s="103"/>
      <c r="F35" s="103"/>
      <c r="G35" s="110"/>
      <c r="H35" s="112"/>
      <c r="I35" s="88">
        <f>4/11</f>
        <v>0.36363636363636365</v>
      </c>
      <c r="J35" s="79">
        <f>2/11</f>
        <v>0.18181818181818182</v>
      </c>
      <c r="K35" s="79">
        <f>3/11</f>
        <v>0.27272727272727271</v>
      </c>
      <c r="L35" s="81">
        <f>2/11</f>
        <v>0.18181818181818182</v>
      </c>
      <c r="M35" s="90">
        <v>1</v>
      </c>
      <c r="N35" s="73"/>
      <c r="O35" s="73"/>
      <c r="P35" s="73"/>
      <c r="Q35" s="73"/>
      <c r="R35" s="74" t="s">
        <v>311</v>
      </c>
      <c r="S35" s="73"/>
      <c r="T35" s="73"/>
      <c r="U35" s="73"/>
      <c r="V35" s="73"/>
      <c r="W35" s="90">
        <v>1</v>
      </c>
      <c r="Z35" s="182" t="s">
        <v>351</v>
      </c>
    </row>
    <row r="36" spans="1:26" ht="153.75" customHeight="1">
      <c r="A36" s="104"/>
      <c r="B36" s="104"/>
      <c r="C36" s="103"/>
      <c r="D36" s="27" t="s">
        <v>106</v>
      </c>
      <c r="E36" s="28" t="s">
        <v>107</v>
      </c>
      <c r="F36" s="28" t="s">
        <v>108</v>
      </c>
      <c r="G36" s="30">
        <f>263*(1+50%)</f>
        <v>394.5</v>
      </c>
      <c r="H36" s="31">
        <v>0.6</v>
      </c>
      <c r="I36" s="78">
        <v>109</v>
      </c>
      <c r="J36" s="78">
        <v>29</v>
      </c>
      <c r="K36" s="78">
        <v>69</v>
      </c>
      <c r="L36" s="91">
        <f>135+33+19</f>
        <v>187</v>
      </c>
      <c r="M36" s="90">
        <v>1</v>
      </c>
      <c r="N36" s="73"/>
      <c r="O36" s="73"/>
      <c r="P36" s="73"/>
      <c r="Q36" s="73"/>
      <c r="R36" s="74" t="s">
        <v>312</v>
      </c>
      <c r="S36" s="73"/>
      <c r="T36" s="73"/>
      <c r="U36" s="73"/>
      <c r="V36" s="73"/>
      <c r="W36" s="90">
        <v>1</v>
      </c>
      <c r="Z36" s="182" t="s">
        <v>351</v>
      </c>
    </row>
    <row r="37" spans="1:26" ht="63.75" customHeight="1">
      <c r="A37" s="104"/>
      <c r="B37" s="102" t="s">
        <v>109</v>
      </c>
      <c r="C37" s="103" t="s">
        <v>110</v>
      </c>
      <c r="D37" s="103" t="s">
        <v>111</v>
      </c>
      <c r="E37" s="27" t="s">
        <v>112</v>
      </c>
      <c r="F37" s="27" t="s">
        <v>113</v>
      </c>
      <c r="G37" s="31">
        <v>0.13</v>
      </c>
      <c r="H37" s="31">
        <v>0.13</v>
      </c>
      <c r="I37" s="80">
        <v>0.13</v>
      </c>
      <c r="J37" s="80">
        <v>0.13</v>
      </c>
      <c r="K37" s="80">
        <v>0.13</v>
      </c>
      <c r="L37" s="90">
        <v>0.13</v>
      </c>
      <c r="M37" s="90">
        <v>1</v>
      </c>
      <c r="N37" s="73"/>
      <c r="O37" s="73"/>
      <c r="P37" s="73"/>
      <c r="Q37" s="73"/>
      <c r="R37" s="74"/>
      <c r="S37" s="73"/>
      <c r="T37" s="73"/>
      <c r="U37" s="73"/>
      <c r="V37" s="73"/>
      <c r="W37" s="90">
        <v>1</v>
      </c>
      <c r="Z37" s="182" t="s">
        <v>351</v>
      </c>
    </row>
    <row r="38" spans="1:26" ht="124.5" customHeight="1">
      <c r="A38" s="104"/>
      <c r="B38" s="104"/>
      <c r="C38" s="103"/>
      <c r="D38" s="103"/>
      <c r="E38" s="27" t="s">
        <v>114</v>
      </c>
      <c r="F38" s="27" t="s">
        <v>115</v>
      </c>
      <c r="G38" s="31">
        <v>0.1</v>
      </c>
      <c r="H38" s="31">
        <v>0.3</v>
      </c>
      <c r="I38" s="80">
        <v>0</v>
      </c>
      <c r="J38" s="80">
        <v>0</v>
      </c>
      <c r="K38" s="80">
        <v>0</v>
      </c>
      <c r="L38" s="90">
        <v>0</v>
      </c>
      <c r="M38" s="90">
        <v>0</v>
      </c>
      <c r="N38" s="73"/>
      <c r="O38" s="73"/>
      <c r="P38" s="73"/>
      <c r="Q38" s="73"/>
      <c r="R38" s="74"/>
      <c r="S38" s="73"/>
      <c r="T38" s="73"/>
      <c r="U38" s="73"/>
      <c r="V38" s="73"/>
      <c r="W38" s="90">
        <v>0</v>
      </c>
      <c r="Z38" s="182" t="s">
        <v>351</v>
      </c>
    </row>
    <row r="39" spans="1:26" ht="141.94999999999999" customHeight="1">
      <c r="A39" s="102" t="s">
        <v>116</v>
      </c>
      <c r="B39" s="102" t="s">
        <v>117</v>
      </c>
      <c r="C39" s="34" t="s">
        <v>118</v>
      </c>
      <c r="D39" s="34" t="s">
        <v>119</v>
      </c>
      <c r="E39" s="34" t="s">
        <v>120</v>
      </c>
      <c r="F39" s="34" t="s">
        <v>121</v>
      </c>
      <c r="G39" s="31">
        <v>0.63</v>
      </c>
      <c r="H39" s="31">
        <v>0.66</v>
      </c>
      <c r="I39" s="81">
        <f>5/11</f>
        <v>0.45454545454545453</v>
      </c>
      <c r="J39" s="79">
        <f>11/11</f>
        <v>1</v>
      </c>
      <c r="K39" s="79">
        <f>11/11</f>
        <v>1</v>
      </c>
      <c r="L39" s="81">
        <f>11/11</f>
        <v>1</v>
      </c>
      <c r="M39" s="90">
        <v>1</v>
      </c>
      <c r="N39" s="73"/>
      <c r="O39" s="73"/>
      <c r="P39" s="73"/>
      <c r="Q39" s="73"/>
      <c r="R39" s="74"/>
      <c r="S39" s="73"/>
      <c r="T39" s="73"/>
      <c r="U39" s="73"/>
      <c r="V39" s="73"/>
      <c r="W39" s="90">
        <v>1</v>
      </c>
      <c r="Z39" s="182" t="s">
        <v>352</v>
      </c>
    </row>
    <row r="40" spans="1:26" ht="52.5" customHeight="1">
      <c r="A40" s="102"/>
      <c r="B40" s="102"/>
      <c r="C40" s="27" t="s">
        <v>122</v>
      </c>
      <c r="D40" s="76" t="s">
        <v>284</v>
      </c>
      <c r="E40" s="76" t="s">
        <v>123</v>
      </c>
      <c r="F40" s="76" t="s">
        <v>124</v>
      </c>
      <c r="G40" s="37">
        <v>0.1</v>
      </c>
      <c r="H40" s="38">
        <v>0.2</v>
      </c>
      <c r="I40" s="79">
        <f>11/23</f>
        <v>0.47826086956521741</v>
      </c>
      <c r="J40" s="79">
        <f>23/23</f>
        <v>1</v>
      </c>
      <c r="K40" s="79">
        <f>23/23</f>
        <v>1</v>
      </c>
      <c r="L40" s="91">
        <f>23/23</f>
        <v>1</v>
      </c>
      <c r="M40" s="90">
        <v>1</v>
      </c>
      <c r="N40" s="73"/>
      <c r="O40" s="73"/>
      <c r="P40" s="73"/>
      <c r="Q40" s="73"/>
      <c r="R40" s="74"/>
      <c r="S40" s="73"/>
      <c r="T40" s="73"/>
      <c r="U40" s="73"/>
      <c r="V40" s="73"/>
      <c r="W40" s="90">
        <v>1</v>
      </c>
      <c r="Z40" s="182" t="s">
        <v>352</v>
      </c>
    </row>
    <row r="41" spans="1:26" ht="82.5">
      <c r="A41" s="102"/>
      <c r="B41" s="102"/>
      <c r="C41" s="106" t="s">
        <v>125</v>
      </c>
      <c r="D41" s="77" t="s">
        <v>285</v>
      </c>
      <c r="E41" s="77" t="s">
        <v>286</v>
      </c>
      <c r="F41" s="77" t="s">
        <v>287</v>
      </c>
      <c r="G41" s="75">
        <v>2</v>
      </c>
      <c r="H41" s="27">
        <v>2</v>
      </c>
      <c r="I41" s="78">
        <v>0</v>
      </c>
      <c r="J41" s="78">
        <v>1</v>
      </c>
      <c r="K41" s="78">
        <v>0</v>
      </c>
      <c r="L41" s="91">
        <v>0</v>
      </c>
      <c r="M41" s="90">
        <v>0.5</v>
      </c>
      <c r="N41" s="73"/>
      <c r="O41" s="73"/>
      <c r="P41" s="73"/>
      <c r="Q41" s="73"/>
      <c r="R41" s="74" t="s">
        <v>326</v>
      </c>
      <c r="S41" s="73"/>
      <c r="T41" s="73"/>
      <c r="U41" s="73"/>
      <c r="V41" s="73"/>
      <c r="W41" s="90">
        <v>0.5</v>
      </c>
      <c r="Z41" s="182" t="s">
        <v>352</v>
      </c>
    </row>
    <row r="42" spans="1:26" ht="117" customHeight="1">
      <c r="A42" s="102"/>
      <c r="B42" s="102"/>
      <c r="C42" s="107"/>
      <c r="D42" s="77" t="s">
        <v>288</v>
      </c>
      <c r="E42" s="77" t="s">
        <v>289</v>
      </c>
      <c r="F42" s="77" t="s">
        <v>290</v>
      </c>
      <c r="G42" s="75">
        <v>1</v>
      </c>
      <c r="H42" s="27">
        <v>1</v>
      </c>
      <c r="I42" s="78">
        <v>2</v>
      </c>
      <c r="J42" s="78">
        <v>2</v>
      </c>
      <c r="K42" s="78">
        <v>2</v>
      </c>
      <c r="L42" s="91">
        <v>3</v>
      </c>
      <c r="M42" s="90">
        <v>1</v>
      </c>
      <c r="N42" s="73"/>
      <c r="O42" s="73"/>
      <c r="P42" s="73"/>
      <c r="Q42" s="73"/>
      <c r="R42" s="74" t="s">
        <v>327</v>
      </c>
      <c r="S42" s="73"/>
      <c r="T42" s="73"/>
      <c r="U42" s="73"/>
      <c r="V42" s="73"/>
      <c r="W42" s="90">
        <v>1</v>
      </c>
      <c r="Z42" s="182" t="s">
        <v>352</v>
      </c>
    </row>
    <row r="43" spans="1:26" ht="73.5" customHeight="1">
      <c r="A43" s="102" t="s">
        <v>126</v>
      </c>
      <c r="B43" s="102" t="s">
        <v>127</v>
      </c>
      <c r="C43" s="27" t="s">
        <v>128</v>
      </c>
      <c r="D43" s="26" t="s">
        <v>129</v>
      </c>
      <c r="E43" s="26" t="s">
        <v>130</v>
      </c>
      <c r="F43" s="26" t="s">
        <v>131</v>
      </c>
      <c r="G43" s="27">
        <v>4</v>
      </c>
      <c r="H43" s="27">
        <v>6</v>
      </c>
      <c r="I43" s="78">
        <v>1</v>
      </c>
      <c r="J43" s="78">
        <v>2</v>
      </c>
      <c r="K43" s="78">
        <v>5</v>
      </c>
      <c r="L43" s="91">
        <v>1</v>
      </c>
      <c r="M43" s="90">
        <v>1</v>
      </c>
      <c r="N43" s="73"/>
      <c r="O43" s="73"/>
      <c r="P43" s="73"/>
      <c r="Q43" s="73"/>
      <c r="R43" s="74" t="s">
        <v>329</v>
      </c>
      <c r="S43" s="73"/>
      <c r="T43" s="73"/>
      <c r="U43" s="73"/>
      <c r="V43" s="73"/>
      <c r="W43" s="90">
        <v>1</v>
      </c>
      <c r="Z43" s="182" t="s">
        <v>353</v>
      </c>
    </row>
    <row r="44" spans="1:26" ht="72.75" customHeight="1">
      <c r="A44" s="102"/>
      <c r="B44" s="102"/>
      <c r="C44" s="103" t="s">
        <v>132</v>
      </c>
      <c r="D44" s="27" t="s">
        <v>133</v>
      </c>
      <c r="E44" s="39" t="s">
        <v>134</v>
      </c>
      <c r="F44" s="39" t="s">
        <v>135</v>
      </c>
      <c r="G44" s="37">
        <v>0.2</v>
      </c>
      <c r="H44" s="37">
        <v>0.4</v>
      </c>
      <c r="I44" s="80">
        <v>0.25</v>
      </c>
      <c r="J44" s="80">
        <v>0</v>
      </c>
      <c r="K44" s="80">
        <v>0</v>
      </c>
      <c r="L44" s="91">
        <v>0</v>
      </c>
      <c r="M44" s="90">
        <f>I44/H44</f>
        <v>0.625</v>
      </c>
      <c r="N44" s="73"/>
      <c r="O44" s="73"/>
      <c r="P44" s="73"/>
      <c r="Q44" s="73"/>
      <c r="R44" s="74"/>
      <c r="S44" s="73"/>
      <c r="T44" s="73"/>
      <c r="U44" s="73"/>
      <c r="V44" s="73"/>
      <c r="W44" s="90">
        <v>0.63</v>
      </c>
      <c r="Z44" s="182" t="s">
        <v>353</v>
      </c>
    </row>
    <row r="45" spans="1:26" ht="75.95" customHeight="1">
      <c r="A45" s="102"/>
      <c r="B45" s="102"/>
      <c r="C45" s="105"/>
      <c r="D45" s="103" t="s">
        <v>136</v>
      </c>
      <c r="E45" s="103" t="s">
        <v>137</v>
      </c>
      <c r="F45" s="27" t="s">
        <v>138</v>
      </c>
      <c r="G45" s="27">
        <v>3</v>
      </c>
      <c r="H45" s="40">
        <f>G45+(G45*20%)</f>
        <v>3.6</v>
      </c>
      <c r="I45" s="78">
        <v>0</v>
      </c>
      <c r="J45" s="78">
        <v>1</v>
      </c>
      <c r="K45" s="78">
        <v>3</v>
      </c>
      <c r="L45" s="91">
        <v>3</v>
      </c>
      <c r="M45" s="90">
        <v>1</v>
      </c>
      <c r="N45" s="73"/>
      <c r="O45" s="73"/>
      <c r="P45" s="73"/>
      <c r="Q45" s="73"/>
      <c r="R45" s="74" t="s">
        <v>303</v>
      </c>
      <c r="S45" s="73"/>
      <c r="T45" s="73"/>
      <c r="U45" s="73"/>
      <c r="V45" s="73"/>
      <c r="W45" s="90">
        <v>1</v>
      </c>
      <c r="Z45" s="182" t="s">
        <v>353</v>
      </c>
    </row>
    <row r="46" spans="1:26" ht="59.25" customHeight="1">
      <c r="A46" s="102"/>
      <c r="B46" s="102"/>
      <c r="C46" s="105"/>
      <c r="D46" s="105"/>
      <c r="E46" s="103"/>
      <c r="F46" s="27" t="s">
        <v>139</v>
      </c>
      <c r="G46" s="27">
        <v>3</v>
      </c>
      <c r="H46" s="40">
        <f>G46+(G46*20%)</f>
        <v>3.6</v>
      </c>
      <c r="I46" s="78">
        <v>4</v>
      </c>
      <c r="J46" s="78">
        <v>20</v>
      </c>
      <c r="K46" s="78">
        <v>21</v>
      </c>
      <c r="L46" s="91">
        <v>36</v>
      </c>
      <c r="M46" s="90">
        <v>1</v>
      </c>
      <c r="N46" s="73"/>
      <c r="O46" s="73"/>
      <c r="P46" s="73"/>
      <c r="Q46" s="73"/>
      <c r="R46" s="74"/>
      <c r="S46" s="73"/>
      <c r="T46" s="73"/>
      <c r="U46" s="73"/>
      <c r="V46" s="73"/>
      <c r="W46" s="90">
        <v>1</v>
      </c>
      <c r="Z46" s="182" t="s">
        <v>353</v>
      </c>
    </row>
    <row r="47" spans="1:26" ht="83.1" customHeight="1">
      <c r="A47" s="102"/>
      <c r="B47" s="102"/>
      <c r="C47" s="27" t="s">
        <v>140</v>
      </c>
      <c r="D47" s="27" t="s">
        <v>141</v>
      </c>
      <c r="E47" s="27" t="s">
        <v>142</v>
      </c>
      <c r="F47" s="27" t="s">
        <v>143</v>
      </c>
      <c r="G47" s="27">
        <v>1</v>
      </c>
      <c r="H47" s="27">
        <v>1</v>
      </c>
      <c r="I47" s="78">
        <v>0</v>
      </c>
      <c r="J47" s="78">
        <v>0</v>
      </c>
      <c r="K47" s="78">
        <v>0</v>
      </c>
      <c r="L47" s="91">
        <v>0</v>
      </c>
      <c r="M47" s="90">
        <v>0</v>
      </c>
      <c r="N47" s="73"/>
      <c r="O47" s="73"/>
      <c r="P47" s="73"/>
      <c r="Q47" s="73"/>
      <c r="R47" s="74"/>
      <c r="S47" s="73"/>
      <c r="T47" s="73"/>
      <c r="U47" s="73"/>
      <c r="V47" s="73"/>
      <c r="W47" s="90">
        <v>0</v>
      </c>
      <c r="Z47" s="182" t="s">
        <v>353</v>
      </c>
    </row>
    <row r="48" spans="1:26" ht="60.75" customHeight="1">
      <c r="A48" s="102"/>
      <c r="B48" s="102"/>
      <c r="C48" s="27" t="s">
        <v>144</v>
      </c>
      <c r="D48" s="27" t="s">
        <v>145</v>
      </c>
      <c r="E48" s="27" t="s">
        <v>146</v>
      </c>
      <c r="F48" s="27" t="s">
        <v>147</v>
      </c>
      <c r="G48" s="27">
        <v>1</v>
      </c>
      <c r="H48" s="27">
        <v>1</v>
      </c>
      <c r="I48" s="78">
        <v>1</v>
      </c>
      <c r="J48" s="78">
        <v>0</v>
      </c>
      <c r="K48" s="78">
        <v>0</v>
      </c>
      <c r="L48" s="91">
        <v>1</v>
      </c>
      <c r="M48" s="90">
        <v>1</v>
      </c>
      <c r="N48" s="73"/>
      <c r="O48" s="73"/>
      <c r="P48" s="73"/>
      <c r="Q48" s="73"/>
      <c r="R48" s="74" t="s">
        <v>304</v>
      </c>
      <c r="S48" s="73"/>
      <c r="T48" s="73"/>
      <c r="U48" s="73"/>
      <c r="V48" s="73"/>
      <c r="W48" s="90">
        <v>1</v>
      </c>
      <c r="Z48" s="182" t="s">
        <v>353</v>
      </c>
    </row>
    <row r="49" spans="1:26" ht="83.25" thickBot="1">
      <c r="A49" s="102"/>
      <c r="B49" s="102"/>
      <c r="C49" s="27" t="s">
        <v>148</v>
      </c>
      <c r="D49" s="27" t="s">
        <v>149</v>
      </c>
      <c r="E49" s="27" t="s">
        <v>150</v>
      </c>
      <c r="F49" s="27" t="s">
        <v>151</v>
      </c>
      <c r="G49" s="41">
        <v>3</v>
      </c>
      <c r="H49" s="39">
        <v>3</v>
      </c>
      <c r="I49" s="78">
        <v>1</v>
      </c>
      <c r="J49" s="78">
        <f>1+1</f>
        <v>2</v>
      </c>
      <c r="K49" s="78">
        <v>0</v>
      </c>
      <c r="L49" s="91">
        <v>1</v>
      </c>
      <c r="M49" s="90">
        <v>1</v>
      </c>
      <c r="N49" s="73"/>
      <c r="O49" s="73"/>
      <c r="P49" s="73"/>
      <c r="Q49" s="73"/>
      <c r="R49" s="74" t="s">
        <v>305</v>
      </c>
      <c r="S49" s="73"/>
      <c r="T49" s="73"/>
      <c r="U49" s="73"/>
      <c r="V49" s="73"/>
      <c r="W49" s="90">
        <v>1</v>
      </c>
      <c r="Z49" s="182" t="s">
        <v>354</v>
      </c>
    </row>
    <row r="50" spans="1:26">
      <c r="M50" s="1"/>
    </row>
    <row r="51" spans="1:26">
      <c r="M51" s="185"/>
    </row>
  </sheetData>
  <mergeCells count="57">
    <mergeCell ref="R3:Z3"/>
    <mergeCell ref="W5:W7"/>
    <mergeCell ref="X5:X7"/>
    <mergeCell ref="Y5:Y7"/>
    <mergeCell ref="Z5:Z7"/>
    <mergeCell ref="V5:V7"/>
    <mergeCell ref="I6:I7"/>
    <mergeCell ref="J6:J7"/>
    <mergeCell ref="K6:K7"/>
    <mergeCell ref="L6:L7"/>
    <mergeCell ref="N6:O6"/>
    <mergeCell ref="P6:Q6"/>
    <mergeCell ref="I5:L5"/>
    <mergeCell ref="M5:M7"/>
    <mergeCell ref="N5:Q5"/>
    <mergeCell ref="R5:R7"/>
    <mergeCell ref="S5:S7"/>
    <mergeCell ref="D37:D38"/>
    <mergeCell ref="D45:D46"/>
    <mergeCell ref="T5:T7"/>
    <mergeCell ref="U5:U7"/>
    <mergeCell ref="G5:H5"/>
    <mergeCell ref="E31:E35"/>
    <mergeCell ref="F31:F35"/>
    <mergeCell ref="D19:D20"/>
    <mergeCell ref="C22:C24"/>
    <mergeCell ref="F5:F7"/>
    <mergeCell ref="E45:E46"/>
    <mergeCell ref="G31:G35"/>
    <mergeCell ref="H31:H35"/>
    <mergeCell ref="G6:G7"/>
    <mergeCell ref="H6:H7"/>
    <mergeCell ref="A39:A42"/>
    <mergeCell ref="B39:B42"/>
    <mergeCell ref="C41:C42"/>
    <mergeCell ref="A43:A49"/>
    <mergeCell ref="B43:B49"/>
    <mergeCell ref="C44:C46"/>
    <mergeCell ref="A26:A29"/>
    <mergeCell ref="B26:B29"/>
    <mergeCell ref="C26:C28"/>
    <mergeCell ref="A31:A38"/>
    <mergeCell ref="B31:B36"/>
    <mergeCell ref="C31:C36"/>
    <mergeCell ref="B37:B38"/>
    <mergeCell ref="C37:C38"/>
    <mergeCell ref="A8:A17"/>
    <mergeCell ref="B8:B17"/>
    <mergeCell ref="C9:C10"/>
    <mergeCell ref="A19:A25"/>
    <mergeCell ref="B19:B25"/>
    <mergeCell ref="C19:C20"/>
    <mergeCell ref="A5:A7"/>
    <mergeCell ref="B5:B7"/>
    <mergeCell ref="C5:C7"/>
    <mergeCell ref="D5:D7"/>
    <mergeCell ref="E5:E7"/>
  </mergeCells>
  <conditionalFormatting sqref="I8:I12 I14:I49">
    <cfRule type="cellIs" dxfId="4" priority="5" operator="lessThan">
      <formula>0</formula>
    </cfRule>
  </conditionalFormatting>
  <conditionalFormatting sqref="J19">
    <cfRule type="cellIs" dxfId="3" priority="3" operator="lessThan">
      <formula>0</formula>
    </cfRule>
  </conditionalFormatting>
  <conditionalFormatting sqref="J23">
    <cfRule type="cellIs" dxfId="2" priority="2" operator="lessThan">
      <formula>0</formula>
    </cfRule>
  </conditionalFormatting>
  <conditionalFormatting sqref="J37">
    <cfRule type="cellIs" dxfId="1" priority="4" operator="lessThan">
      <formula>0</formula>
    </cfRule>
  </conditionalFormatting>
  <conditionalFormatting sqref="J39:K39">
    <cfRule type="cellIs" dxfId="0" priority="1" operator="lessThan">
      <formula>0</formula>
    </cfRule>
  </conditionalFormatting>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A51"/>
  <sheetViews>
    <sheetView tabSelected="1" topLeftCell="C1" zoomScale="80" zoomScaleNormal="80" workbookViewId="0">
      <selection activeCell="S49" sqref="S49"/>
    </sheetView>
  </sheetViews>
  <sheetFormatPr baseColWidth="10" defaultRowHeight="15"/>
  <cols>
    <col min="1" max="1" width="17.6640625" customWidth="1"/>
    <col min="2" max="2" width="22.6640625" customWidth="1"/>
    <col min="3" max="3" width="18.77734375" customWidth="1"/>
    <col min="4" max="4" width="23.44140625" customWidth="1"/>
    <col min="5" max="5" width="29.44140625" customWidth="1"/>
    <col min="6" max="6" width="16.109375" customWidth="1"/>
    <col min="7" max="7" width="15.109375" customWidth="1"/>
    <col min="8" max="8" width="9.6640625" customWidth="1"/>
    <col min="9" max="9" width="9.109375" customWidth="1"/>
    <col min="10" max="10" width="8.6640625" customWidth="1"/>
    <col min="11" max="11" width="8.88671875" customWidth="1"/>
    <col min="12" max="12" width="9.33203125" customWidth="1"/>
    <col min="13" max="13" width="8" bestFit="1" customWidth="1"/>
    <col min="15" max="18" width="0" hidden="1" customWidth="1"/>
    <col min="19" max="19" width="50.77734375" style="189" customWidth="1"/>
    <col min="20" max="20" width="0" hidden="1" customWidth="1"/>
    <col min="21" max="21" width="15.6640625" hidden="1" customWidth="1"/>
    <col min="22" max="22" width="21.77734375" customWidth="1"/>
    <col min="23" max="23" width="12.109375" customWidth="1"/>
  </cols>
  <sheetData>
    <row r="3" spans="1:27" ht="62.25" customHeight="1">
      <c r="C3" s="118" t="s">
        <v>262</v>
      </c>
      <c r="D3" s="118"/>
      <c r="E3" s="118"/>
      <c r="F3" s="118"/>
      <c r="G3" s="118"/>
      <c r="H3" s="118"/>
      <c r="I3" s="118"/>
      <c r="J3" s="118"/>
      <c r="K3" s="118"/>
      <c r="L3" s="118"/>
      <c r="M3" s="118"/>
      <c r="N3" s="118"/>
      <c r="O3" s="168"/>
      <c r="P3" s="168"/>
      <c r="Q3" s="168"/>
      <c r="R3" s="168"/>
      <c r="S3" s="183" t="s">
        <v>344</v>
      </c>
      <c r="T3" s="184"/>
      <c r="U3" s="184"/>
      <c r="V3" s="184"/>
      <c r="W3" s="184"/>
      <c r="X3" s="188"/>
      <c r="Y3" s="188"/>
      <c r="Z3" s="188"/>
      <c r="AA3" s="188"/>
    </row>
    <row r="5" spans="1:27" ht="2.25" customHeight="1" thickBot="1"/>
    <row r="6" spans="1:27" ht="54" customHeight="1" thickTop="1" thickBot="1">
      <c r="A6" s="142" t="s">
        <v>0</v>
      </c>
      <c r="B6" s="139" t="s">
        <v>1</v>
      </c>
      <c r="C6" s="139" t="s">
        <v>2</v>
      </c>
      <c r="D6" s="139" t="s">
        <v>3</v>
      </c>
      <c r="E6" s="139" t="s">
        <v>263</v>
      </c>
      <c r="F6" s="139" t="s">
        <v>4</v>
      </c>
      <c r="G6" s="139" t="s">
        <v>5</v>
      </c>
      <c r="H6" s="117" t="s">
        <v>277</v>
      </c>
      <c r="I6" s="117"/>
      <c r="J6" s="129" t="s">
        <v>292</v>
      </c>
      <c r="K6" s="129"/>
      <c r="L6" s="129"/>
      <c r="M6" s="130"/>
      <c r="N6" s="125" t="s">
        <v>291</v>
      </c>
      <c r="O6" s="127" t="s">
        <v>293</v>
      </c>
      <c r="P6" s="131"/>
      <c r="Q6" s="131"/>
      <c r="R6" s="128"/>
      <c r="S6" s="121" t="s">
        <v>294</v>
      </c>
      <c r="T6" s="132" t="s">
        <v>295</v>
      </c>
      <c r="U6" s="119" t="s">
        <v>296</v>
      </c>
      <c r="V6" s="121" t="s">
        <v>297</v>
      </c>
      <c r="W6" s="121" t="s">
        <v>298</v>
      </c>
    </row>
    <row r="7" spans="1:27" ht="16.5" thickTop="1" thickBot="1">
      <c r="A7" s="143"/>
      <c r="B7" s="140"/>
      <c r="C7" s="140"/>
      <c r="D7" s="140"/>
      <c r="E7" s="140"/>
      <c r="F7" s="140"/>
      <c r="G7" s="140"/>
      <c r="H7" s="113" t="s">
        <v>156</v>
      </c>
      <c r="I7" s="115" t="s">
        <v>157</v>
      </c>
      <c r="J7" s="123" t="s">
        <v>299</v>
      </c>
      <c r="K7" s="125" t="s">
        <v>300</v>
      </c>
      <c r="L7" s="125" t="s">
        <v>301</v>
      </c>
      <c r="M7" s="125" t="s">
        <v>302</v>
      </c>
      <c r="N7" s="126"/>
      <c r="O7" s="127" t="s">
        <v>152</v>
      </c>
      <c r="P7" s="128"/>
      <c r="Q7" s="127" t="s">
        <v>153</v>
      </c>
      <c r="R7" s="128"/>
      <c r="S7" s="122"/>
      <c r="T7" s="133"/>
      <c r="U7" s="120"/>
      <c r="V7" s="122"/>
      <c r="W7" s="122"/>
    </row>
    <row r="8" spans="1:27" ht="16.5" thickTop="1" thickBot="1">
      <c r="A8" s="144"/>
      <c r="B8" s="141"/>
      <c r="C8" s="141"/>
      <c r="D8" s="141"/>
      <c r="E8" s="141"/>
      <c r="F8" s="141"/>
      <c r="G8" s="141"/>
      <c r="H8" s="114"/>
      <c r="I8" s="162"/>
      <c r="J8" s="124"/>
      <c r="K8" s="126"/>
      <c r="L8" s="126"/>
      <c r="M8" s="126"/>
      <c r="N8" s="126"/>
      <c r="O8" s="71" t="s">
        <v>154</v>
      </c>
      <c r="P8" s="72" t="s">
        <v>155</v>
      </c>
      <c r="Q8" s="72" t="s">
        <v>154</v>
      </c>
      <c r="R8" s="72" t="s">
        <v>155</v>
      </c>
      <c r="S8" s="122"/>
      <c r="T8" s="133"/>
      <c r="U8" s="120"/>
      <c r="V8" s="122"/>
      <c r="W8" s="122"/>
    </row>
    <row r="9" spans="1:27" ht="210.75" customHeight="1">
      <c r="A9" s="42" t="s">
        <v>158</v>
      </c>
      <c r="B9" s="43" t="s">
        <v>159</v>
      </c>
      <c r="C9" s="44" t="s">
        <v>160</v>
      </c>
      <c r="D9" s="45" t="s">
        <v>161</v>
      </c>
      <c r="E9" s="45" t="s">
        <v>264</v>
      </c>
      <c r="F9" s="45" t="s">
        <v>162</v>
      </c>
      <c r="G9" s="46" t="s">
        <v>163</v>
      </c>
      <c r="H9" s="47">
        <v>88</v>
      </c>
      <c r="I9" s="48">
        <v>90</v>
      </c>
      <c r="J9" s="78">
        <v>89.8</v>
      </c>
      <c r="K9" s="78">
        <v>89.8</v>
      </c>
      <c r="L9" s="78">
        <v>89.8</v>
      </c>
      <c r="M9" s="78">
        <v>89.8</v>
      </c>
      <c r="N9" s="94">
        <f>M9/I9</f>
        <v>0.99777777777777776</v>
      </c>
      <c r="O9" s="73"/>
      <c r="P9" s="73"/>
      <c r="Q9" s="73"/>
      <c r="R9" s="73"/>
      <c r="S9" s="190"/>
      <c r="T9" s="73"/>
      <c r="U9" s="73"/>
      <c r="V9" s="90">
        <v>1</v>
      </c>
      <c r="W9" s="178" t="s">
        <v>333</v>
      </c>
    </row>
    <row r="10" spans="1:27" ht="318.75" customHeight="1">
      <c r="A10" s="134" t="s">
        <v>164</v>
      </c>
      <c r="B10" s="49" t="s">
        <v>165</v>
      </c>
      <c r="C10" s="145" t="s">
        <v>166</v>
      </c>
      <c r="D10" s="50" t="s">
        <v>167</v>
      </c>
      <c r="E10" s="50" t="s">
        <v>265</v>
      </c>
      <c r="F10" s="50" t="s">
        <v>168</v>
      </c>
      <c r="G10" s="51" t="s">
        <v>169</v>
      </c>
      <c r="H10" s="52">
        <v>10</v>
      </c>
      <c r="I10" s="52">
        <v>20</v>
      </c>
      <c r="J10" s="78">
        <v>0</v>
      </c>
      <c r="K10" s="78">
        <v>0</v>
      </c>
      <c r="L10" s="78">
        <v>0</v>
      </c>
      <c r="M10" s="78">
        <v>0</v>
      </c>
      <c r="N10" s="80">
        <v>0</v>
      </c>
      <c r="O10" s="73"/>
      <c r="P10" s="73"/>
      <c r="Q10" s="73"/>
      <c r="R10" s="73"/>
      <c r="S10" s="190"/>
      <c r="T10" s="73"/>
      <c r="U10" s="73"/>
      <c r="V10" s="90">
        <v>0</v>
      </c>
      <c r="W10" s="179" t="s">
        <v>334</v>
      </c>
    </row>
    <row r="11" spans="1:27" ht="105.95" customHeight="1">
      <c r="A11" s="135"/>
      <c r="B11" s="49" t="s">
        <v>170</v>
      </c>
      <c r="C11" s="146"/>
      <c r="D11" s="53" t="s">
        <v>171</v>
      </c>
      <c r="E11" s="53" t="s">
        <v>265</v>
      </c>
      <c r="F11" s="53" t="s">
        <v>70</v>
      </c>
      <c r="G11" s="54" t="s">
        <v>172</v>
      </c>
      <c r="H11" s="55">
        <v>0.6</v>
      </c>
      <c r="I11" s="55">
        <v>0.7</v>
      </c>
      <c r="J11" s="78">
        <f>0/3</f>
        <v>0</v>
      </c>
      <c r="K11" s="79">
        <f>1/3</f>
        <v>0.33333333333333331</v>
      </c>
      <c r="L11" s="79">
        <f>2/3</f>
        <v>0.66666666666666663</v>
      </c>
      <c r="M11" s="80">
        <v>1</v>
      </c>
      <c r="N11" s="80">
        <v>1</v>
      </c>
      <c r="O11" s="73"/>
      <c r="P11" s="73"/>
      <c r="Q11" s="73"/>
      <c r="R11" s="73"/>
      <c r="S11" s="190"/>
      <c r="T11" s="73"/>
      <c r="U11" s="73"/>
      <c r="V11" s="90">
        <v>1</v>
      </c>
      <c r="W11" s="180"/>
    </row>
    <row r="12" spans="1:27" ht="234.95" customHeight="1">
      <c r="A12" s="56" t="s">
        <v>173</v>
      </c>
      <c r="B12" s="49" t="s">
        <v>174</v>
      </c>
      <c r="C12" s="57" t="s">
        <v>175</v>
      </c>
      <c r="D12" s="53" t="s">
        <v>176</v>
      </c>
      <c r="E12" s="53"/>
      <c r="F12" s="53" t="s">
        <v>177</v>
      </c>
      <c r="G12" s="50" t="s">
        <v>178</v>
      </c>
      <c r="H12" s="55">
        <v>0.6</v>
      </c>
      <c r="I12" s="55">
        <v>0.7</v>
      </c>
      <c r="J12" s="80">
        <v>0</v>
      </c>
      <c r="K12" s="79">
        <f>5/9</f>
        <v>0.55555555555555558</v>
      </c>
      <c r="L12" s="78">
        <f>8/15</f>
        <v>0.53333333333333333</v>
      </c>
      <c r="M12" s="79">
        <f>12/15</f>
        <v>0.8</v>
      </c>
      <c r="N12" s="80">
        <v>1</v>
      </c>
      <c r="O12" s="73"/>
      <c r="P12" s="73"/>
      <c r="Q12" s="73"/>
      <c r="R12" s="73"/>
      <c r="S12" s="190"/>
      <c r="T12" s="73"/>
      <c r="U12" s="73"/>
      <c r="V12" s="90">
        <v>1</v>
      </c>
      <c r="W12" s="91" t="s">
        <v>335</v>
      </c>
    </row>
    <row r="13" spans="1:27" ht="67.5">
      <c r="A13" s="134" t="s">
        <v>179</v>
      </c>
      <c r="B13" s="136" t="s">
        <v>180</v>
      </c>
      <c r="C13" s="138" t="s">
        <v>181</v>
      </c>
      <c r="D13" s="164" t="s">
        <v>182</v>
      </c>
      <c r="E13" s="157" t="s">
        <v>266</v>
      </c>
      <c r="F13" s="50" t="s">
        <v>183</v>
      </c>
      <c r="G13" s="50" t="s">
        <v>184</v>
      </c>
      <c r="H13" s="50">
        <v>0</v>
      </c>
      <c r="I13" s="50">
        <v>24</v>
      </c>
      <c r="J13" s="78">
        <v>0</v>
      </c>
      <c r="K13" s="78">
        <v>0</v>
      </c>
      <c r="L13" s="78">
        <v>0</v>
      </c>
      <c r="M13" s="78">
        <v>0</v>
      </c>
      <c r="N13" s="80">
        <v>0</v>
      </c>
      <c r="O13" s="73"/>
      <c r="P13" s="73"/>
      <c r="Q13" s="73"/>
      <c r="R13" s="73"/>
      <c r="S13" s="190"/>
      <c r="T13" s="73"/>
      <c r="U13" s="73"/>
      <c r="V13" s="90">
        <v>1</v>
      </c>
      <c r="W13" s="179" t="s">
        <v>334</v>
      </c>
    </row>
    <row r="14" spans="1:27" ht="108">
      <c r="A14" s="135"/>
      <c r="B14" s="137"/>
      <c r="C14" s="138"/>
      <c r="D14" s="165"/>
      <c r="E14" s="158"/>
      <c r="F14" s="50" t="s">
        <v>185</v>
      </c>
      <c r="G14" s="50" t="s">
        <v>186</v>
      </c>
      <c r="H14" s="50">
        <v>0</v>
      </c>
      <c r="I14" s="50">
        <v>1</v>
      </c>
      <c r="J14" s="78">
        <v>0</v>
      </c>
      <c r="K14" s="78">
        <v>0</v>
      </c>
      <c r="L14" s="78">
        <v>1</v>
      </c>
      <c r="M14" s="78">
        <v>0</v>
      </c>
      <c r="N14" s="80">
        <v>1</v>
      </c>
      <c r="O14" s="73"/>
      <c r="P14" s="73"/>
      <c r="Q14" s="73"/>
      <c r="R14" s="73"/>
      <c r="S14" s="190"/>
      <c r="T14" s="73"/>
      <c r="U14" s="73"/>
      <c r="V14" s="90">
        <v>1</v>
      </c>
      <c r="W14" s="180"/>
    </row>
    <row r="15" spans="1:27" ht="54">
      <c r="A15" s="134" t="s">
        <v>187</v>
      </c>
      <c r="B15" s="136" t="s">
        <v>188</v>
      </c>
      <c r="C15" s="145" t="s">
        <v>189</v>
      </c>
      <c r="D15" s="53" t="s">
        <v>190</v>
      </c>
      <c r="E15" s="159" t="s">
        <v>267</v>
      </c>
      <c r="F15" s="53" t="s">
        <v>191</v>
      </c>
      <c r="G15" s="53" t="s">
        <v>192</v>
      </c>
      <c r="H15" s="54">
        <v>1</v>
      </c>
      <c r="I15" s="54">
        <v>1</v>
      </c>
      <c r="J15" s="78">
        <v>0</v>
      </c>
      <c r="K15" s="78">
        <v>0</v>
      </c>
      <c r="L15" s="78">
        <v>0</v>
      </c>
      <c r="M15" s="78">
        <v>0</v>
      </c>
      <c r="N15" s="80">
        <v>0</v>
      </c>
      <c r="O15" s="73"/>
      <c r="P15" s="73"/>
      <c r="Q15" s="73"/>
      <c r="R15" s="73"/>
      <c r="S15" s="190"/>
      <c r="T15" s="73"/>
      <c r="U15" s="73"/>
      <c r="V15" s="90">
        <v>0</v>
      </c>
      <c r="W15" s="179" t="s">
        <v>336</v>
      </c>
    </row>
    <row r="16" spans="1:27" ht="81">
      <c r="A16" s="134"/>
      <c r="B16" s="136"/>
      <c r="C16" s="146"/>
      <c r="D16" s="53" t="s">
        <v>193</v>
      </c>
      <c r="E16" s="160"/>
      <c r="F16" s="53" t="s">
        <v>70</v>
      </c>
      <c r="G16" s="54" t="s">
        <v>194</v>
      </c>
      <c r="H16" s="54">
        <v>0</v>
      </c>
      <c r="I16" s="54">
        <v>0</v>
      </c>
      <c r="J16" s="78">
        <v>0</v>
      </c>
      <c r="K16" s="78">
        <v>0</v>
      </c>
      <c r="L16" s="54">
        <v>0</v>
      </c>
      <c r="M16" s="78">
        <v>0</v>
      </c>
      <c r="N16" s="80">
        <v>0</v>
      </c>
      <c r="O16" s="73"/>
      <c r="P16" s="73"/>
      <c r="Q16" s="73"/>
      <c r="R16" s="73"/>
      <c r="S16" s="190"/>
      <c r="T16" s="73"/>
      <c r="U16" s="73"/>
      <c r="V16" s="90">
        <v>0</v>
      </c>
      <c r="W16" s="180"/>
    </row>
    <row r="17" spans="1:23" ht="148.5">
      <c r="A17" s="134"/>
      <c r="B17" s="136"/>
      <c r="C17" s="151" t="s">
        <v>195</v>
      </c>
      <c r="D17" s="54" t="s">
        <v>196</v>
      </c>
      <c r="E17" s="160"/>
      <c r="F17" s="54" t="s">
        <v>197</v>
      </c>
      <c r="G17" s="54" t="s">
        <v>194</v>
      </c>
      <c r="H17" s="58">
        <v>0.1</v>
      </c>
      <c r="I17" s="58">
        <v>0.2</v>
      </c>
      <c r="J17" s="78">
        <v>0</v>
      </c>
      <c r="K17" s="79">
        <f>13/24</f>
        <v>0.54166666666666663</v>
      </c>
      <c r="L17" s="79">
        <f>23/23</f>
        <v>1</v>
      </c>
      <c r="M17" s="80">
        <v>1</v>
      </c>
      <c r="N17" s="80">
        <v>1</v>
      </c>
      <c r="O17" s="73"/>
      <c r="P17" s="73"/>
      <c r="Q17" s="73"/>
      <c r="R17" s="73"/>
      <c r="S17" s="190"/>
      <c r="T17" s="73"/>
      <c r="U17" s="73"/>
      <c r="V17" s="81">
        <v>1</v>
      </c>
      <c r="W17" s="181" t="s">
        <v>355</v>
      </c>
    </row>
    <row r="18" spans="1:23" ht="148.5">
      <c r="A18" s="134"/>
      <c r="B18" s="136"/>
      <c r="C18" s="151"/>
      <c r="D18" s="54" t="s">
        <v>198</v>
      </c>
      <c r="E18" s="160"/>
      <c r="F18" s="54" t="s">
        <v>197</v>
      </c>
      <c r="G18" s="54" t="s">
        <v>194</v>
      </c>
      <c r="H18" s="55">
        <v>0.9</v>
      </c>
      <c r="I18" s="55">
        <v>0.9</v>
      </c>
      <c r="J18" s="79">
        <f>6/34</f>
        <v>0.17647058823529413</v>
      </c>
      <c r="K18" s="79">
        <f>7/34</f>
        <v>0.20588235294117646</v>
      </c>
      <c r="L18" s="79">
        <f>6/34</f>
        <v>0.17647058823529413</v>
      </c>
      <c r="M18" s="79">
        <f>7/34</f>
        <v>0.20588235294117646</v>
      </c>
      <c r="N18" s="80">
        <f>(M18+L18+K18+J18)/I18</f>
        <v>0.84967320261437895</v>
      </c>
      <c r="O18" s="73"/>
      <c r="P18" s="73"/>
      <c r="Q18" s="73"/>
      <c r="R18" s="73"/>
      <c r="S18" s="190"/>
      <c r="T18" s="73"/>
      <c r="U18" s="73"/>
      <c r="V18" s="90">
        <v>1</v>
      </c>
      <c r="W18" s="181" t="s">
        <v>355</v>
      </c>
    </row>
    <row r="19" spans="1:23" ht="214.5">
      <c r="A19" s="134"/>
      <c r="B19" s="136"/>
      <c r="C19" s="151"/>
      <c r="D19" s="53" t="s">
        <v>199</v>
      </c>
      <c r="E19" s="161"/>
      <c r="F19" s="53" t="s">
        <v>200</v>
      </c>
      <c r="G19" s="53" t="s">
        <v>201</v>
      </c>
      <c r="H19" s="58">
        <v>0.3</v>
      </c>
      <c r="I19" s="58">
        <v>0.5</v>
      </c>
      <c r="J19" s="78">
        <v>0</v>
      </c>
      <c r="K19" s="78">
        <v>0</v>
      </c>
      <c r="L19" s="78">
        <v>0</v>
      </c>
      <c r="M19" s="78">
        <v>0</v>
      </c>
      <c r="N19" s="80">
        <v>0</v>
      </c>
      <c r="O19" s="73"/>
      <c r="P19" s="73"/>
      <c r="Q19" s="73"/>
      <c r="R19" s="73"/>
      <c r="S19" s="190"/>
      <c r="T19" s="73"/>
      <c r="U19" s="73"/>
      <c r="V19" s="90">
        <v>0</v>
      </c>
      <c r="W19" s="181" t="s">
        <v>337</v>
      </c>
    </row>
    <row r="20" spans="1:23" ht="409.5">
      <c r="A20" s="134"/>
      <c r="B20" s="136"/>
      <c r="C20" s="57" t="s">
        <v>202</v>
      </c>
      <c r="D20" s="54" t="s">
        <v>203</v>
      </c>
      <c r="E20" s="54" t="s">
        <v>268</v>
      </c>
      <c r="F20" s="53" t="s">
        <v>197</v>
      </c>
      <c r="G20" s="54" t="s">
        <v>194</v>
      </c>
      <c r="H20" s="58">
        <v>0.9</v>
      </c>
      <c r="I20" s="58">
        <v>0.92</v>
      </c>
      <c r="J20" s="79">
        <f>19/86</f>
        <v>0.22093023255813954</v>
      </c>
      <c r="K20" s="79">
        <f>39/86</f>
        <v>0.45348837209302323</v>
      </c>
      <c r="L20" s="79">
        <f>55/86</f>
        <v>0.63953488372093026</v>
      </c>
      <c r="M20" s="78">
        <f>86/86</f>
        <v>1</v>
      </c>
      <c r="N20" s="80">
        <v>1</v>
      </c>
      <c r="O20" s="73"/>
      <c r="P20" s="73"/>
      <c r="Q20" s="73"/>
      <c r="R20" s="73"/>
      <c r="S20" s="191" t="s">
        <v>328</v>
      </c>
      <c r="T20" s="73"/>
      <c r="U20" s="73"/>
      <c r="V20" s="90">
        <v>1</v>
      </c>
      <c r="W20" s="181" t="s">
        <v>355</v>
      </c>
    </row>
    <row r="21" spans="1:23" ht="132">
      <c r="A21" s="14" t="s">
        <v>204</v>
      </c>
      <c r="B21" s="59" t="s">
        <v>205</v>
      </c>
      <c r="C21" s="15" t="s">
        <v>206</v>
      </c>
      <c r="D21" s="16" t="s">
        <v>207</v>
      </c>
      <c r="E21" s="16" t="s">
        <v>269</v>
      </c>
      <c r="F21" s="16" t="s">
        <v>208</v>
      </c>
      <c r="G21" s="16" t="s">
        <v>209</v>
      </c>
      <c r="H21" s="17">
        <v>0</v>
      </c>
      <c r="I21" s="17">
        <v>0</v>
      </c>
      <c r="J21" s="79">
        <v>0</v>
      </c>
      <c r="K21" s="79">
        <v>0</v>
      </c>
      <c r="L21" s="79">
        <v>0</v>
      </c>
      <c r="M21" s="80">
        <v>0</v>
      </c>
      <c r="N21" s="80">
        <v>1</v>
      </c>
      <c r="O21" s="73"/>
      <c r="P21" s="73"/>
      <c r="Q21" s="73"/>
      <c r="R21" s="73"/>
      <c r="S21" s="190"/>
      <c r="T21" s="73"/>
      <c r="U21" s="73"/>
      <c r="V21" s="90">
        <v>0</v>
      </c>
      <c r="W21" s="181" t="s">
        <v>338</v>
      </c>
    </row>
    <row r="22" spans="1:23" ht="132">
      <c r="A22" s="147" t="s">
        <v>210</v>
      </c>
      <c r="B22" s="136" t="s">
        <v>211</v>
      </c>
      <c r="C22" s="148" t="s">
        <v>212</v>
      </c>
      <c r="D22" s="9" t="s">
        <v>213</v>
      </c>
      <c r="E22" s="154" t="s">
        <v>270</v>
      </c>
      <c r="F22" s="9" t="s">
        <v>214</v>
      </c>
      <c r="G22" s="9" t="s">
        <v>215</v>
      </c>
      <c r="H22" s="10">
        <v>0</v>
      </c>
      <c r="I22" s="10">
        <v>0</v>
      </c>
      <c r="J22" s="78">
        <v>0</v>
      </c>
      <c r="K22" s="78">
        <v>0</v>
      </c>
      <c r="L22" s="78">
        <v>0</v>
      </c>
      <c r="M22" s="78">
        <v>0</v>
      </c>
      <c r="N22" s="80">
        <v>1</v>
      </c>
      <c r="O22" s="73"/>
      <c r="P22" s="73"/>
      <c r="Q22" s="73"/>
      <c r="R22" s="73"/>
      <c r="S22" s="190"/>
      <c r="T22" s="73"/>
      <c r="U22" s="73"/>
      <c r="V22" s="90">
        <v>1</v>
      </c>
      <c r="W22" s="181" t="s">
        <v>338</v>
      </c>
    </row>
    <row r="23" spans="1:23" ht="66">
      <c r="A23" s="152"/>
      <c r="B23" s="137"/>
      <c r="C23" s="153"/>
      <c r="D23" s="9" t="s">
        <v>216</v>
      </c>
      <c r="E23" s="155"/>
      <c r="F23" s="10" t="s">
        <v>217</v>
      </c>
      <c r="G23" s="10" t="s">
        <v>218</v>
      </c>
      <c r="H23" s="9">
        <v>2</v>
      </c>
      <c r="I23" s="9">
        <v>2</v>
      </c>
      <c r="J23" s="78">
        <v>0</v>
      </c>
      <c r="K23" s="78">
        <v>0</v>
      </c>
      <c r="L23" s="78">
        <v>0</v>
      </c>
      <c r="M23" s="78">
        <v>0</v>
      </c>
      <c r="N23" s="80">
        <v>0</v>
      </c>
      <c r="O23" s="73"/>
      <c r="P23" s="73"/>
      <c r="Q23" s="73"/>
      <c r="R23" s="73"/>
      <c r="S23" s="191" t="s">
        <v>356</v>
      </c>
      <c r="T23" s="73"/>
      <c r="U23" s="73"/>
      <c r="V23" s="90">
        <v>1</v>
      </c>
      <c r="W23" s="181" t="s">
        <v>338</v>
      </c>
    </row>
    <row r="24" spans="1:23" ht="132">
      <c r="A24" s="152"/>
      <c r="B24" s="137"/>
      <c r="C24" s="12" t="s">
        <v>219</v>
      </c>
      <c r="D24" s="9" t="s">
        <v>220</v>
      </c>
      <c r="E24" s="156"/>
      <c r="F24" s="9" t="s">
        <v>221</v>
      </c>
      <c r="G24" s="9" t="s">
        <v>222</v>
      </c>
      <c r="H24" s="13">
        <v>0.2</v>
      </c>
      <c r="I24" s="13">
        <v>0.4</v>
      </c>
      <c r="J24" s="78">
        <v>0</v>
      </c>
      <c r="K24" s="78">
        <v>0</v>
      </c>
      <c r="L24" s="78">
        <v>0</v>
      </c>
      <c r="M24" s="80">
        <v>0.4</v>
      </c>
      <c r="N24" s="80">
        <v>1</v>
      </c>
      <c r="O24" s="73"/>
      <c r="P24" s="73"/>
      <c r="Q24" s="73"/>
      <c r="R24" s="73"/>
      <c r="S24" s="191" t="s">
        <v>332</v>
      </c>
      <c r="T24" s="73"/>
      <c r="U24" s="73"/>
      <c r="V24" s="90">
        <v>1</v>
      </c>
      <c r="W24" s="181" t="s">
        <v>338</v>
      </c>
    </row>
    <row r="25" spans="1:23" ht="181.5">
      <c r="A25" s="147" t="s">
        <v>223</v>
      </c>
      <c r="B25" s="136" t="s">
        <v>224</v>
      </c>
      <c r="C25" s="148" t="s">
        <v>225</v>
      </c>
      <c r="D25" s="9" t="s">
        <v>226</v>
      </c>
      <c r="E25" s="154" t="s">
        <v>271</v>
      </c>
      <c r="F25" s="149" t="s">
        <v>221</v>
      </c>
      <c r="G25" s="149" t="s">
        <v>222</v>
      </c>
      <c r="H25" s="163">
        <v>0.2</v>
      </c>
      <c r="I25" s="163">
        <v>0.4</v>
      </c>
      <c r="J25" s="80">
        <v>1</v>
      </c>
      <c r="K25" s="80">
        <v>1</v>
      </c>
      <c r="L25" s="80">
        <v>1</v>
      </c>
      <c r="M25" s="80">
        <v>1</v>
      </c>
      <c r="N25" s="80">
        <v>1</v>
      </c>
      <c r="O25" s="73"/>
      <c r="P25" s="73"/>
      <c r="Q25" s="73"/>
      <c r="R25" s="73"/>
      <c r="S25" s="190"/>
      <c r="T25" s="73"/>
      <c r="U25" s="73"/>
      <c r="V25" s="90">
        <v>1</v>
      </c>
      <c r="W25" s="181" t="s">
        <v>339</v>
      </c>
    </row>
    <row r="26" spans="1:23" ht="176.1" customHeight="1">
      <c r="A26" s="147"/>
      <c r="B26" s="136"/>
      <c r="C26" s="153"/>
      <c r="D26" s="9" t="s">
        <v>227</v>
      </c>
      <c r="E26" s="155"/>
      <c r="F26" s="149"/>
      <c r="G26" s="149"/>
      <c r="H26" s="163"/>
      <c r="I26" s="163"/>
      <c r="J26" s="79">
        <f>1/4</f>
        <v>0.25</v>
      </c>
      <c r="K26" s="79">
        <f>1/4</f>
        <v>0.25</v>
      </c>
      <c r="L26" s="78">
        <v>0</v>
      </c>
      <c r="M26" s="79">
        <f>2/4</f>
        <v>0.5</v>
      </c>
      <c r="N26" s="80">
        <v>1</v>
      </c>
      <c r="O26" s="73"/>
      <c r="P26" s="73"/>
      <c r="Q26" s="73"/>
      <c r="R26" s="73"/>
      <c r="S26" s="191" t="s">
        <v>306</v>
      </c>
      <c r="T26" s="73"/>
      <c r="U26" s="73"/>
      <c r="V26" s="90">
        <v>1</v>
      </c>
      <c r="W26" s="181" t="s">
        <v>339</v>
      </c>
    </row>
    <row r="27" spans="1:23" ht="115.5">
      <c r="A27" s="147"/>
      <c r="B27" s="136"/>
      <c r="C27" s="153"/>
      <c r="D27" s="9" t="s">
        <v>228</v>
      </c>
      <c r="E27" s="155"/>
      <c r="F27" s="9" t="s">
        <v>229</v>
      </c>
      <c r="G27" s="9" t="s">
        <v>230</v>
      </c>
      <c r="H27" s="13">
        <v>0.6</v>
      </c>
      <c r="I27" s="13">
        <v>0.7</v>
      </c>
      <c r="J27" s="79">
        <f>234/242</f>
        <v>0.96694214876033058</v>
      </c>
      <c r="K27" s="78">
        <v>0</v>
      </c>
      <c r="L27" s="79">
        <f>93/143</f>
        <v>0.65034965034965031</v>
      </c>
      <c r="M27" s="78">
        <v>0</v>
      </c>
      <c r="N27" s="79">
        <f>(J27+L27)/2</f>
        <v>0.80864589955499044</v>
      </c>
      <c r="O27" s="73"/>
      <c r="P27" s="73"/>
      <c r="Q27" s="73"/>
      <c r="R27" s="73"/>
      <c r="S27" s="190"/>
      <c r="T27" s="73"/>
      <c r="U27" s="73"/>
      <c r="V27" s="90">
        <v>0.81</v>
      </c>
      <c r="W27" s="181" t="s">
        <v>339</v>
      </c>
    </row>
    <row r="28" spans="1:23" ht="181.5">
      <c r="A28" s="152"/>
      <c r="B28" s="137"/>
      <c r="C28" s="18" t="s">
        <v>231</v>
      </c>
      <c r="D28" s="10" t="s">
        <v>232</v>
      </c>
      <c r="E28" s="156"/>
      <c r="F28" s="10" t="s">
        <v>233</v>
      </c>
      <c r="G28" s="10" t="s">
        <v>201</v>
      </c>
      <c r="H28" s="13">
        <v>0.75</v>
      </c>
      <c r="I28" s="13">
        <v>0.8</v>
      </c>
      <c r="J28" s="79">
        <f>3/19</f>
        <v>0.15789473684210525</v>
      </c>
      <c r="K28" s="79">
        <f>5/19</f>
        <v>0.26315789473684209</v>
      </c>
      <c r="L28" s="79">
        <f>4/19</f>
        <v>0.21052631578947367</v>
      </c>
      <c r="M28" s="79">
        <f>7/19</f>
        <v>0.36842105263157893</v>
      </c>
      <c r="N28" s="80">
        <v>0.46</v>
      </c>
      <c r="O28" s="73"/>
      <c r="P28" s="73"/>
      <c r="Q28" s="73"/>
      <c r="R28" s="73"/>
      <c r="S28" s="192"/>
      <c r="T28" s="73"/>
      <c r="U28" s="73"/>
      <c r="V28" s="90">
        <v>1</v>
      </c>
      <c r="W28" s="181" t="s">
        <v>339</v>
      </c>
    </row>
    <row r="29" spans="1:23" ht="120">
      <c r="A29" s="147" t="s">
        <v>234</v>
      </c>
      <c r="B29" s="136" t="s">
        <v>235</v>
      </c>
      <c r="C29" s="148" t="s">
        <v>236</v>
      </c>
      <c r="D29" s="149" t="s">
        <v>237</v>
      </c>
      <c r="E29" s="154" t="s">
        <v>272</v>
      </c>
      <c r="F29" s="9" t="s">
        <v>238</v>
      </c>
      <c r="G29" s="10" t="s">
        <v>239</v>
      </c>
      <c r="H29" s="10">
        <v>2</v>
      </c>
      <c r="I29" s="10">
        <v>3</v>
      </c>
      <c r="J29" s="78">
        <v>2</v>
      </c>
      <c r="K29" s="78">
        <v>2</v>
      </c>
      <c r="L29" s="78">
        <v>0</v>
      </c>
      <c r="M29" s="78">
        <v>1</v>
      </c>
      <c r="N29" s="80">
        <v>1</v>
      </c>
      <c r="O29" s="73"/>
      <c r="P29" s="73"/>
      <c r="Q29" s="73"/>
      <c r="R29" s="73"/>
      <c r="S29" s="190"/>
      <c r="T29" s="73"/>
      <c r="U29" s="73"/>
      <c r="V29" s="90">
        <v>1</v>
      </c>
      <c r="W29" s="91" t="s">
        <v>340</v>
      </c>
    </row>
    <row r="30" spans="1:23" ht="120">
      <c r="A30" s="147"/>
      <c r="B30" s="136"/>
      <c r="C30" s="148"/>
      <c r="D30" s="150"/>
      <c r="E30" s="155"/>
      <c r="F30" s="9" t="s">
        <v>240</v>
      </c>
      <c r="G30" s="10" t="s">
        <v>241</v>
      </c>
      <c r="H30" s="10">
        <v>6</v>
      </c>
      <c r="I30" s="10">
        <v>6</v>
      </c>
      <c r="J30" s="78">
        <v>2</v>
      </c>
      <c r="K30" s="78">
        <v>2</v>
      </c>
      <c r="L30" s="78">
        <v>0</v>
      </c>
      <c r="M30" s="78">
        <v>3</v>
      </c>
      <c r="N30" s="80">
        <v>1</v>
      </c>
      <c r="O30" s="73"/>
      <c r="P30" s="73"/>
      <c r="Q30" s="73"/>
      <c r="R30" s="73"/>
      <c r="S30" s="190"/>
      <c r="T30" s="73"/>
      <c r="U30" s="73"/>
      <c r="V30" s="93">
        <f>U30+T30+S30+R30</f>
        <v>0</v>
      </c>
      <c r="W30" s="91" t="s">
        <v>340</v>
      </c>
    </row>
    <row r="31" spans="1:23" ht="120">
      <c r="A31" s="147"/>
      <c r="B31" s="136"/>
      <c r="C31" s="148"/>
      <c r="D31" s="10" t="s">
        <v>242</v>
      </c>
      <c r="E31" s="156"/>
      <c r="F31" s="9" t="s">
        <v>243</v>
      </c>
      <c r="G31" s="10" t="s">
        <v>244</v>
      </c>
      <c r="H31" s="10">
        <v>4</v>
      </c>
      <c r="I31" s="10">
        <v>4</v>
      </c>
      <c r="J31" s="78">
        <v>0</v>
      </c>
      <c r="K31" s="78">
        <v>0</v>
      </c>
      <c r="L31" s="78">
        <v>3</v>
      </c>
      <c r="M31" s="78">
        <v>1</v>
      </c>
      <c r="N31" s="80">
        <v>1</v>
      </c>
      <c r="O31" s="73"/>
      <c r="P31" s="73"/>
      <c r="Q31" s="73"/>
      <c r="R31" s="73"/>
      <c r="S31" s="190"/>
      <c r="T31" s="73"/>
      <c r="U31" s="73"/>
      <c r="V31" s="90">
        <v>1</v>
      </c>
      <c r="W31" s="91" t="s">
        <v>340</v>
      </c>
    </row>
    <row r="32" spans="1:23" ht="198">
      <c r="A32" s="11" t="s">
        <v>245</v>
      </c>
      <c r="B32" s="49" t="s">
        <v>246</v>
      </c>
      <c r="C32" s="18" t="s">
        <v>247</v>
      </c>
      <c r="D32" s="10" t="s">
        <v>248</v>
      </c>
      <c r="E32" s="10" t="s">
        <v>273</v>
      </c>
      <c r="F32" s="10" t="s">
        <v>249</v>
      </c>
      <c r="G32" s="10" t="s">
        <v>250</v>
      </c>
      <c r="H32" s="19">
        <v>3</v>
      </c>
      <c r="I32" s="19">
        <v>4</v>
      </c>
      <c r="J32" s="78">
        <v>2</v>
      </c>
      <c r="K32" s="78">
        <v>6</v>
      </c>
      <c r="L32" s="78">
        <v>3</v>
      </c>
      <c r="M32" s="78">
        <v>3</v>
      </c>
      <c r="N32" s="80">
        <v>1</v>
      </c>
      <c r="O32" s="73"/>
      <c r="P32" s="73"/>
      <c r="Q32" s="73"/>
      <c r="R32" s="73"/>
      <c r="S32" s="191" t="s">
        <v>324</v>
      </c>
      <c r="T32" s="73"/>
      <c r="U32" s="73"/>
      <c r="V32" s="90">
        <v>1</v>
      </c>
      <c r="W32" s="181" t="s">
        <v>341</v>
      </c>
    </row>
    <row r="33" spans="1:23" ht="181.5">
      <c r="A33" s="11" t="s">
        <v>251</v>
      </c>
      <c r="B33" s="49" t="s">
        <v>252</v>
      </c>
      <c r="C33" s="12" t="s">
        <v>253</v>
      </c>
      <c r="D33" s="9" t="s">
        <v>254</v>
      </c>
      <c r="E33" s="9" t="s">
        <v>274</v>
      </c>
      <c r="F33" s="9" t="s">
        <v>255</v>
      </c>
      <c r="G33" s="20" t="s">
        <v>256</v>
      </c>
      <c r="H33" s="13">
        <v>0.75</v>
      </c>
      <c r="I33" s="13">
        <v>0.77</v>
      </c>
      <c r="J33" s="78">
        <f>0/30</f>
        <v>0</v>
      </c>
      <c r="K33" s="79">
        <f>4/30</f>
        <v>0.13333333333333333</v>
      </c>
      <c r="L33" s="81">
        <f>6/30</f>
        <v>0.2</v>
      </c>
      <c r="M33" s="79">
        <f>7/30</f>
        <v>0.23333333333333334</v>
      </c>
      <c r="N33" s="80">
        <f>(M33+L33+K33+J33)/I33</f>
        <v>0.73593073593073588</v>
      </c>
      <c r="O33" s="73"/>
      <c r="P33" s="73"/>
      <c r="Q33" s="73"/>
      <c r="R33" s="73"/>
      <c r="S33" s="191" t="s">
        <v>325</v>
      </c>
      <c r="T33" s="73"/>
      <c r="U33" s="73"/>
      <c r="V33" s="90">
        <v>1</v>
      </c>
      <c r="W33" s="182" t="s">
        <v>342</v>
      </c>
    </row>
    <row r="34" spans="1:23" ht="182.25" thickBot="1">
      <c r="A34" s="21" t="s">
        <v>257</v>
      </c>
      <c r="B34" s="60" t="s">
        <v>258</v>
      </c>
      <c r="C34" s="22" t="s">
        <v>258</v>
      </c>
      <c r="D34" s="23" t="s">
        <v>259</v>
      </c>
      <c r="E34" s="23" t="s">
        <v>275</v>
      </c>
      <c r="F34" s="23" t="s">
        <v>260</v>
      </c>
      <c r="G34" s="24" t="s">
        <v>261</v>
      </c>
      <c r="H34" s="25">
        <v>0.6</v>
      </c>
      <c r="I34" s="25">
        <v>0.7</v>
      </c>
      <c r="J34" s="80">
        <v>0.05</v>
      </c>
      <c r="K34" s="80">
        <v>0.7</v>
      </c>
      <c r="L34" s="80">
        <v>0.8</v>
      </c>
      <c r="M34" s="80">
        <v>0.9</v>
      </c>
      <c r="N34" s="80">
        <v>1</v>
      </c>
      <c r="O34" s="73"/>
      <c r="P34" s="73"/>
      <c r="Q34" s="73"/>
      <c r="R34" s="73"/>
      <c r="S34" s="190"/>
      <c r="T34" s="73"/>
      <c r="U34" s="73"/>
      <c r="V34" s="90">
        <v>1</v>
      </c>
      <c r="W34" s="181" t="s">
        <v>343</v>
      </c>
    </row>
    <row r="35" spans="1:23">
      <c r="V35" s="186"/>
    </row>
    <row r="36" spans="1:23">
      <c r="V36" s="186"/>
    </row>
    <row r="37" spans="1:23">
      <c r="H37" s="8"/>
      <c r="I37" s="1"/>
      <c r="V37" s="186"/>
    </row>
    <row r="38" spans="1:23">
      <c r="H38" s="1"/>
      <c r="I38" s="1"/>
      <c r="V38" s="186"/>
    </row>
    <row r="39" spans="1:23">
      <c r="H39" s="1"/>
      <c r="I39" s="1"/>
      <c r="V39" s="186"/>
    </row>
    <row r="40" spans="1:23">
      <c r="H40" s="1"/>
      <c r="I40" s="1"/>
      <c r="V40" s="186"/>
    </row>
    <row r="41" spans="1:23">
      <c r="H41" s="2"/>
      <c r="I41" s="3"/>
      <c r="V41" s="186"/>
    </row>
    <row r="42" spans="1:23">
      <c r="H42" s="4"/>
      <c r="I42" s="5"/>
      <c r="V42" s="186"/>
    </row>
    <row r="43" spans="1:23">
      <c r="H43" s="4"/>
      <c r="I43" s="5"/>
      <c r="V43" s="186"/>
    </row>
    <row r="44" spans="1:23">
      <c r="H44" s="5"/>
      <c r="I44" s="5"/>
      <c r="V44" s="186"/>
    </row>
    <row r="45" spans="1:23">
      <c r="H45" s="2"/>
      <c r="I45" s="2"/>
      <c r="V45" s="186"/>
    </row>
    <row r="46" spans="1:23">
      <c r="H46" s="5"/>
      <c r="I46" s="6"/>
      <c r="V46" s="186"/>
    </row>
    <row r="47" spans="1:23">
      <c r="H47" s="5"/>
      <c r="I47" s="6"/>
      <c r="V47" s="186"/>
    </row>
    <row r="48" spans="1:23">
      <c r="H48" s="5"/>
      <c r="I48" s="5"/>
      <c r="V48" s="186"/>
    </row>
    <row r="49" spans="8:22">
      <c r="H49" s="5"/>
      <c r="I49" s="5"/>
      <c r="V49" s="186"/>
    </row>
    <row r="50" spans="8:22">
      <c r="H50" s="7"/>
      <c r="I50" s="7"/>
      <c r="V50" s="186"/>
    </row>
    <row r="51" spans="8:22">
      <c r="V51" s="187"/>
    </row>
  </sheetData>
  <mergeCells count="58">
    <mergeCell ref="S3:W3"/>
    <mergeCell ref="W10:W11"/>
    <mergeCell ref="W13:W14"/>
    <mergeCell ref="W15:W16"/>
    <mergeCell ref="C3:N3"/>
    <mergeCell ref="U6:U8"/>
    <mergeCell ref="V6:V8"/>
    <mergeCell ref="W6:W8"/>
    <mergeCell ref="J7:J8"/>
    <mergeCell ref="K7:K8"/>
    <mergeCell ref="L7:L8"/>
    <mergeCell ref="M7:M8"/>
    <mergeCell ref="O7:P7"/>
    <mergeCell ref="Q7:R7"/>
    <mergeCell ref="J6:M6"/>
    <mergeCell ref="N6:N8"/>
    <mergeCell ref="O6:R6"/>
    <mergeCell ref="S6:S8"/>
    <mergeCell ref="T6:T8"/>
    <mergeCell ref="F25:F26"/>
    <mergeCell ref="G25:G26"/>
    <mergeCell ref="H6:I6"/>
    <mergeCell ref="H7:H8"/>
    <mergeCell ref="I7:I8"/>
    <mergeCell ref="H25:H26"/>
    <mergeCell ref="I25:I26"/>
    <mergeCell ref="E29:E31"/>
    <mergeCell ref="E6:E8"/>
    <mergeCell ref="E13:E14"/>
    <mergeCell ref="E15:E19"/>
    <mergeCell ref="E22:E24"/>
    <mergeCell ref="E25:E28"/>
    <mergeCell ref="A29:A31"/>
    <mergeCell ref="B29:B31"/>
    <mergeCell ref="C29:C31"/>
    <mergeCell ref="D29:D30"/>
    <mergeCell ref="A15:A20"/>
    <mergeCell ref="B15:B20"/>
    <mergeCell ref="C15:C16"/>
    <mergeCell ref="C17:C19"/>
    <mergeCell ref="A22:A24"/>
    <mergeCell ref="B22:B24"/>
    <mergeCell ref="C22:C23"/>
    <mergeCell ref="A25:A28"/>
    <mergeCell ref="B25:B28"/>
    <mergeCell ref="C25:C27"/>
    <mergeCell ref="A13:A14"/>
    <mergeCell ref="B13:B14"/>
    <mergeCell ref="C13:C14"/>
    <mergeCell ref="F6:F8"/>
    <mergeCell ref="G6:G8"/>
    <mergeCell ref="A6:A8"/>
    <mergeCell ref="B6:B8"/>
    <mergeCell ref="C6:C8"/>
    <mergeCell ref="D6:D8"/>
    <mergeCell ref="A10:A11"/>
    <mergeCell ref="C10:C11"/>
    <mergeCell ref="D13:D1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C5"/>
  <sheetViews>
    <sheetView workbookViewId="0">
      <selection activeCell="F9" sqref="F9:F12"/>
    </sheetView>
  </sheetViews>
  <sheetFormatPr baseColWidth="10" defaultRowHeight="15"/>
  <cols>
    <col min="3" max="3" width="15.44140625" customWidth="1"/>
  </cols>
  <sheetData>
    <row r="3" spans="1:3">
      <c r="A3" s="166" t="s">
        <v>279</v>
      </c>
      <c r="B3" s="167"/>
      <c r="C3" s="167"/>
    </row>
    <row r="4" spans="1:3" ht="38.25">
      <c r="A4" s="61" t="s">
        <v>280</v>
      </c>
      <c r="B4" s="61" t="s">
        <v>281</v>
      </c>
      <c r="C4" s="61" t="s">
        <v>282</v>
      </c>
    </row>
    <row r="5" spans="1:3" ht="89.25">
      <c r="A5" s="62">
        <v>1</v>
      </c>
      <c r="B5" s="63">
        <v>45669</v>
      </c>
      <c r="C5" s="64" t="s">
        <v>283</v>
      </c>
    </row>
  </sheetData>
  <mergeCells count="1">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MISIONAL</vt:lpstr>
      <vt:lpstr>INSTITUCIONAL</vt:lpstr>
      <vt:lpstr>Control de cambio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Herrera</dc:creator>
  <cp:lastModifiedBy>Lynne Anne Davis Sjogreen</cp:lastModifiedBy>
  <dcterms:created xsi:type="dcterms:W3CDTF">2025-01-16T22:01:46Z</dcterms:created>
  <dcterms:modified xsi:type="dcterms:W3CDTF">2026-02-12T21:32:56Z</dcterms:modified>
</cp:coreProperties>
</file>