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showInkAnnotation="0" codeName="ThisWorkbook" defaultThemeVersion="124226"/>
  <mc:AlternateContent xmlns:mc="http://schemas.openxmlformats.org/markup-compatibility/2006">
    <mc:Choice Requires="x15">
      <x15ac:absPath xmlns:x15ac="http://schemas.microsoft.com/office/spreadsheetml/2010/11/ac" url="C:\Users\cmorenol\Documents\SDO\Planes SDO\Plan Sectorial\"/>
    </mc:Choice>
  </mc:AlternateContent>
  <xr:revisionPtr revIDLastSave="0" documentId="8_{ED93202E-E7C6-43A5-BB35-BD6C28F90BFE}" xr6:coauthVersionLast="36" xr6:coauthVersionMax="36" xr10:uidLastSave="{00000000-0000-0000-0000-000000000000}"/>
  <bookViews>
    <workbookView xWindow="0" yWindow="0" windowWidth="28800" windowHeight="12225" tabRatio="823" xr2:uid="{00000000-000D-0000-FFFF-FFFF00000000}"/>
  </bookViews>
  <sheets>
    <sheet name="PORCENTAJE CUMPLIMIENTO EAV" sheetId="16" r:id="rId1"/>
    <sheet name="TALENTO HUMANO" sheetId="11" r:id="rId2"/>
    <sheet name="DIRECCIONAMIENTO ESTRATEGICO" sheetId="9" r:id="rId3"/>
    <sheet name="VALORES PARA RESULTADOS" sheetId="10" r:id="rId4"/>
    <sheet name="EVALUACIÓN DE RESULTADOS" sheetId="14" r:id="rId5"/>
    <sheet name="INFORMACIÓN Y COMUNICACIÓN" sheetId="12" r:id="rId6"/>
    <sheet name="GESTIÓN DEL CONOCIMIENTO" sheetId="13" r:id="rId7"/>
    <sheet name="CONTROL INTERNO" sheetId="15" r:id="rId8"/>
    <sheet name="Categorías" sheetId="7" state="hidden" r:id="rId9"/>
  </sheets>
  <definedNames>
    <definedName name="_xlnm.Print_Area" localSheetId="5">'INFORMACIÓN Y COMUNICACIÓN'!$A$1:$Y$20</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9" i="10" l="1"/>
  <c r="V17" i="11" l="1"/>
  <c r="V16" i="11"/>
  <c r="V15" i="11"/>
  <c r="V14" i="11"/>
  <c r="V13" i="11"/>
  <c r="V12" i="11"/>
  <c r="V10" i="11"/>
  <c r="V9" i="11"/>
  <c r="V15" i="14" l="1"/>
  <c r="M20" i="12" l="1"/>
  <c r="M20" i="11"/>
  <c r="M17" i="9"/>
  <c r="M22" i="10"/>
  <c r="M16" i="14"/>
  <c r="M14" i="16" l="1"/>
  <c r="I14" i="16"/>
  <c r="G14" i="16"/>
  <c r="F14" i="16"/>
  <c r="L13" i="16"/>
  <c r="I13" i="16"/>
  <c r="H13" i="16"/>
  <c r="G13" i="16"/>
  <c r="F13" i="16"/>
  <c r="E13" i="16"/>
  <c r="D13" i="16"/>
  <c r="K11" i="16"/>
  <c r="F11" i="16"/>
  <c r="E11" i="16"/>
  <c r="M10" i="16"/>
  <c r="L10" i="16"/>
  <c r="J10" i="16"/>
  <c r="I10" i="16"/>
  <c r="G10" i="16"/>
  <c r="F10" i="16"/>
  <c r="D10" i="16"/>
  <c r="C10" i="16"/>
  <c r="M9" i="16"/>
  <c r="L9" i="16"/>
  <c r="J9" i="16"/>
  <c r="I9" i="16"/>
  <c r="G9" i="16"/>
  <c r="D9" i="16"/>
  <c r="M8" i="16"/>
  <c r="L8" i="16"/>
  <c r="I8" i="16"/>
  <c r="G8" i="16"/>
  <c r="F8" i="16"/>
  <c r="D8" i="16"/>
  <c r="L14" i="15"/>
  <c r="X13" i="15"/>
  <c r="W13" i="15"/>
  <c r="L14" i="16" s="1"/>
  <c r="V13" i="15"/>
  <c r="K14" i="16" s="1"/>
  <c r="U13" i="15"/>
  <c r="J14" i="16" s="1"/>
  <c r="T13" i="15"/>
  <c r="S13" i="15"/>
  <c r="H14" i="16" s="1"/>
  <c r="R13" i="15"/>
  <c r="Q13" i="15"/>
  <c r="P13" i="15"/>
  <c r="E14" i="16" s="1"/>
  <c r="O13" i="15"/>
  <c r="D14" i="16" s="1"/>
  <c r="N13" i="15"/>
  <c r="C14" i="16" s="1"/>
  <c r="Y11" i="15"/>
  <c r="Y10" i="15"/>
  <c r="Y9" i="15"/>
  <c r="Y8" i="15"/>
  <c r="L12" i="13"/>
  <c r="X11" i="13"/>
  <c r="M13" i="16" s="1"/>
  <c r="W11" i="13"/>
  <c r="V11" i="13"/>
  <c r="K13" i="16" s="1"/>
  <c r="U11" i="13"/>
  <c r="J13" i="16" s="1"/>
  <c r="T11" i="13"/>
  <c r="S11" i="13"/>
  <c r="R11" i="13"/>
  <c r="Q11" i="13"/>
  <c r="P11" i="13"/>
  <c r="O11" i="13"/>
  <c r="N11" i="13"/>
  <c r="C13" i="16" s="1"/>
  <c r="Y9" i="13"/>
  <c r="Y8" i="13"/>
  <c r="L20" i="12"/>
  <c r="X19" i="12"/>
  <c r="M12" i="16" s="1"/>
  <c r="W19" i="12"/>
  <c r="L12" i="16" s="1"/>
  <c r="V19" i="12"/>
  <c r="K12" i="16" s="1"/>
  <c r="U19" i="12"/>
  <c r="J12" i="16" s="1"/>
  <c r="T19" i="12"/>
  <c r="I12" i="16" s="1"/>
  <c r="S19" i="12"/>
  <c r="H12" i="16" s="1"/>
  <c r="R19" i="12"/>
  <c r="G12" i="16" s="1"/>
  <c r="Q19" i="12"/>
  <c r="F12" i="16" s="1"/>
  <c r="P19" i="12"/>
  <c r="E12" i="16" s="1"/>
  <c r="O19" i="12"/>
  <c r="D12" i="16" s="1"/>
  <c r="N19" i="12"/>
  <c r="C12" i="16" s="1"/>
  <c r="Y17" i="12"/>
  <c r="Y16" i="12"/>
  <c r="Y15" i="12"/>
  <c r="Y14" i="12"/>
  <c r="Y13" i="12"/>
  <c r="Y12" i="12"/>
  <c r="Y11" i="12"/>
  <c r="Y10" i="12"/>
  <c r="Y9" i="12"/>
  <c r="Y8" i="12"/>
  <c r="L16" i="14"/>
  <c r="X15" i="14"/>
  <c r="M11" i="16" s="1"/>
  <c r="W15" i="14"/>
  <c r="L11" i="16" s="1"/>
  <c r="U15" i="14"/>
  <c r="J11" i="16" s="1"/>
  <c r="T15" i="14"/>
  <c r="I11" i="16" s="1"/>
  <c r="S15" i="14"/>
  <c r="H11" i="16" s="1"/>
  <c r="R15" i="14"/>
  <c r="G11" i="16" s="1"/>
  <c r="Q15" i="14"/>
  <c r="P15" i="14"/>
  <c r="O15" i="14"/>
  <c r="D11" i="16" s="1"/>
  <c r="N15" i="14"/>
  <c r="C11" i="16" s="1"/>
  <c r="Y13" i="14"/>
  <c r="Y12" i="14"/>
  <c r="Y11" i="14"/>
  <c r="Y10" i="14"/>
  <c r="Y9" i="14"/>
  <c r="Y8" i="14"/>
  <c r="L22" i="10"/>
  <c r="X21" i="10"/>
  <c r="W21" i="10"/>
  <c r="V21" i="10"/>
  <c r="K10" i="16" s="1"/>
  <c r="U21" i="10"/>
  <c r="T21" i="10"/>
  <c r="S21" i="10"/>
  <c r="H10" i="16" s="1"/>
  <c r="R21" i="10"/>
  <c r="Q21" i="10"/>
  <c r="P21" i="10"/>
  <c r="E10" i="16" s="1"/>
  <c r="O21" i="10"/>
  <c r="N21" i="10"/>
  <c r="Y19" i="10"/>
  <c r="Y18" i="10"/>
  <c r="Y17" i="10"/>
  <c r="Y16" i="10"/>
  <c r="Y15" i="10"/>
  <c r="Y14" i="10"/>
  <c r="Y13" i="10"/>
  <c r="Y12" i="10"/>
  <c r="Y11" i="10"/>
  <c r="Y10" i="10"/>
  <c r="Y9" i="10"/>
  <c r="Y8" i="10"/>
  <c r="D270" i="9"/>
  <c r="D248" i="9"/>
  <c r="D241" i="9"/>
  <c r="P205" i="9"/>
  <c r="D199" i="9"/>
  <c r="D186" i="9"/>
  <c r="D178" i="9"/>
  <c r="D153" i="9"/>
  <c r="D142" i="9"/>
  <c r="D132" i="9"/>
  <c r="N125" i="9"/>
  <c r="D119" i="9"/>
  <c r="R118" i="9"/>
  <c r="N118" i="9"/>
  <c r="N117" i="9"/>
  <c r="R116" i="9"/>
  <c r="N116" i="9"/>
  <c r="R115" i="9"/>
  <c r="N115" i="9"/>
  <c r="R114" i="9"/>
  <c r="R113" i="9"/>
  <c r="N113" i="9"/>
  <c r="R108" i="9"/>
  <c r="N108" i="9"/>
  <c r="R104" i="9"/>
  <c r="N104" i="9"/>
  <c r="R101" i="9"/>
  <c r="R100" i="9"/>
  <c r="N100" i="9"/>
  <c r="R98" i="9"/>
  <c r="R97" i="9"/>
  <c r="N97" i="9"/>
  <c r="R95" i="9"/>
  <c r="N95" i="9"/>
  <c r="R94" i="9"/>
  <c r="N94" i="9"/>
  <c r="R92" i="9"/>
  <c r="R91" i="9"/>
  <c r="N91" i="9"/>
  <c r="R90" i="9"/>
  <c r="N90" i="9"/>
  <c r="R86" i="9"/>
  <c r="N86" i="9"/>
  <c r="D80" i="9"/>
  <c r="R79" i="9"/>
  <c r="R77" i="9"/>
  <c r="R76" i="9"/>
  <c r="R75" i="9"/>
  <c r="R74" i="9"/>
  <c r="R73" i="9"/>
  <c r="R71" i="9"/>
  <c r="R68" i="9"/>
  <c r="R67" i="9"/>
  <c r="R66" i="9"/>
  <c r="R65" i="9"/>
  <c r="R63" i="9"/>
  <c r="R62" i="9"/>
  <c r="R60" i="9"/>
  <c r="R59" i="9"/>
  <c r="R58" i="9"/>
  <c r="R57" i="9"/>
  <c r="R55" i="9"/>
  <c r="R54" i="9"/>
  <c r="R53" i="9"/>
  <c r="R51" i="9"/>
  <c r="R49" i="9"/>
  <c r="R47" i="9"/>
  <c r="R43" i="9"/>
  <c r="R42" i="9"/>
  <c r="R41" i="9"/>
  <c r="R40" i="9"/>
  <c r="R37" i="9"/>
  <c r="R36" i="9"/>
  <c r="R35" i="9"/>
  <c r="R34" i="9"/>
  <c r="R32" i="9"/>
  <c r="R31" i="9"/>
  <c r="R30" i="9"/>
  <c r="R29" i="9"/>
  <c r="R28" i="9"/>
  <c r="R27" i="9"/>
  <c r="R26" i="9"/>
  <c r="L17" i="9"/>
  <c r="X16" i="9"/>
  <c r="W16" i="9"/>
  <c r="V16" i="9"/>
  <c r="K9" i="16" s="1"/>
  <c r="U16" i="9"/>
  <c r="T16" i="9"/>
  <c r="S16" i="9"/>
  <c r="H9" i="16" s="1"/>
  <c r="R16" i="9"/>
  <c r="Q16" i="9"/>
  <c r="F9" i="16" s="1"/>
  <c r="P16" i="9"/>
  <c r="E9" i="16" s="1"/>
  <c r="O16" i="9"/>
  <c r="N16" i="9"/>
  <c r="C9" i="16" s="1"/>
  <c r="D15" i="9"/>
  <c r="Y14" i="9"/>
  <c r="Y13" i="9"/>
  <c r="Y12" i="9"/>
  <c r="Y11" i="9"/>
  <c r="Y10" i="9"/>
  <c r="Y9" i="9"/>
  <c r="Y8" i="9"/>
  <c r="L20" i="11"/>
  <c r="X19" i="11"/>
  <c r="W19" i="11"/>
  <c r="V19" i="11"/>
  <c r="K8" i="16" s="1"/>
  <c r="U19" i="11"/>
  <c r="J8" i="16" s="1"/>
  <c r="T19" i="11"/>
  <c r="S19" i="11"/>
  <c r="H8" i="16" s="1"/>
  <c r="R19" i="11"/>
  <c r="Q19" i="11"/>
  <c r="P19" i="11"/>
  <c r="E8" i="16" s="1"/>
  <c r="O19" i="11"/>
  <c r="N19" i="11"/>
  <c r="C8" i="16" s="1"/>
  <c r="Y17" i="11"/>
  <c r="Y16" i="11"/>
  <c r="Y15" i="11"/>
  <c r="Y14" i="11"/>
  <c r="Y13" i="11"/>
  <c r="Y12" i="11"/>
  <c r="Y11" i="11"/>
  <c r="Y10" i="11"/>
  <c r="Y9" i="11"/>
  <c r="Y8" i="11"/>
  <c r="H15" i="16" l="1"/>
  <c r="N13" i="16"/>
  <c r="N11" i="16"/>
  <c r="N14" i="16"/>
  <c r="N9" i="16"/>
  <c r="N12" i="16"/>
  <c r="N10" i="16"/>
  <c r="N8" i="16"/>
  <c r="C15" i="16"/>
  <c r="Y13" i="15"/>
  <c r="C22" i="16" s="1"/>
  <c r="Y11" i="13"/>
  <c r="C25" i="16" s="1"/>
  <c r="Y19" i="12"/>
  <c r="C24" i="16" s="1"/>
  <c r="Y15" i="14"/>
  <c r="C19" i="16" s="1"/>
  <c r="Y21" i="10"/>
  <c r="C23" i="16" s="1"/>
  <c r="Y16" i="9"/>
  <c r="C20" i="16" s="1"/>
  <c r="E15" i="16"/>
  <c r="Y19" i="11"/>
  <c r="C21" i="16" s="1"/>
  <c r="J15" i="16"/>
  <c r="F15" i="16"/>
  <c r="M15" i="16"/>
  <c r="L15" i="16"/>
  <c r="K15" i="16"/>
  <c r="I15" i="16"/>
  <c r="G15" i="16"/>
  <c r="D15" i="16"/>
  <c r="C26" i="16" l="1"/>
  <c r="N15"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Luis Eduardo Niño Velandia</author>
    <author>Juan Pablo Bicenty Mendoza</author>
  </authors>
  <commentList>
    <comment ref="L8" authorId="0" shapeId="0" xr:uid="{4F601B6D-4F18-49BF-950C-28CC3B16D620}">
      <text>
        <r>
          <rPr>
            <b/>
            <sz val="12"/>
            <color indexed="81"/>
            <rFont val="Tahoma"/>
            <family val="2"/>
          </rPr>
          <t>Luis Eduardo Niño Velandia:
Se acepta propuesta de icetex de ajustar % para que queden acordes con los de la dimensión de gestión de valores por resultados.</t>
        </r>
      </text>
    </comment>
    <comment ref="S265" authorId="1" shapeId="0" xr:uid="{23545DDA-E760-45CC-8E39-1DB81BE5EDFF}">
      <text>
        <r>
          <rPr>
            <b/>
            <sz val="9"/>
            <color indexed="81"/>
            <rFont val="Tahoma"/>
            <family val="2"/>
          </rPr>
          <t>Juan Pablo Bicenty Mendoza:</t>
        </r>
        <r>
          <rPr>
            <sz val="9"/>
            <color indexed="81"/>
            <rFont val="Tahoma"/>
            <family val="2"/>
          </rPr>
          <t xml:space="preserve">
Que pasó con el avance cualitativo?</t>
        </r>
      </text>
    </comment>
  </commentList>
</comments>
</file>

<file path=xl/sharedStrings.xml><?xml version="1.0" encoding="utf-8"?>
<sst xmlns="http://schemas.openxmlformats.org/spreadsheetml/2006/main" count="2111" uniqueCount="1060">
  <si>
    <t>FECHA DE INICIO</t>
  </si>
  <si>
    <t>FECHA FINAL</t>
  </si>
  <si>
    <t>FECHA DE EJECUCIÓN</t>
  </si>
  <si>
    <t>RECURSOS REQUERIDOS</t>
  </si>
  <si>
    <t>FÍSICOS Y HUMANOS</t>
  </si>
  <si>
    <t>OBJETIVO ESTRATÉGICO</t>
  </si>
  <si>
    <t>SI ES INVERSIÓN, NOMBRE DEL PROYECTO</t>
  </si>
  <si>
    <t>PRESUPUESTO ASIGNADO FUNCIONAMIENTO (EN PESOS)</t>
  </si>
  <si>
    <t>PRESUPUESTO ASIGNADO INVERSIÓN (EN PESOS)</t>
  </si>
  <si>
    <t>FINANCIEROS APORTADOS POR OTRAS ENTIDADES Y POR GESTIONAR (EN PESOS)</t>
  </si>
  <si>
    <t>META</t>
  </si>
  <si>
    <t>UNIDAD DE MEDIDA</t>
  </si>
  <si>
    <t>PERTENECE AL TABLERO DE LA MINISTRA</t>
  </si>
  <si>
    <t>DIMENSION O EJE MIPG</t>
  </si>
  <si>
    <t>PROGRAMA</t>
  </si>
  <si>
    <t xml:space="preserve"> INDICADOR DE PRODUCTO </t>
  </si>
  <si>
    <t xml:space="preserve">Direccionamiento estratégico y planeación </t>
  </si>
  <si>
    <t xml:space="preserve">ACTIVIDADES  </t>
  </si>
  <si>
    <t>Mejorar los resultados en lenguajes, ciencias y matemáticas, medidos por pruebas estandarizadas</t>
  </si>
  <si>
    <t>Brindar acceso con calidad a la educación superior</t>
  </si>
  <si>
    <t>Transformar y fortalecer la gestión y la cultura institucional</t>
  </si>
  <si>
    <t>ASISTENCIA A COMUNIDADES INDIGENAS A TRAVES DEL FONDO DE CREDITOS CONDONABLES ALVARO ULCUE - PNR REGION NACIONAL - ICETEX</t>
  </si>
  <si>
    <t>CREDITO EDUCATIVO PARA SOSTENIMIENTO DIRIGIDO A PROFESIONALES QUE CURSEN ESPECIALIZACIONES EN EL AREA DE SALUD -ICETEX.</t>
  </si>
  <si>
    <t>MEJORAMIENTO DE LA CALIDAD DE LA EDUCACION PREESCOLAR, BASICA Y MEDIA.</t>
  </si>
  <si>
    <t>ASISTENCIA TECNICA Y ASESORIA PARA EL FORTALECIMIENTO DE LOS PROCESOS DE PLANEACION, DESCENTRALIZACION Y REORGANIZACION DEL SECTOR EDUCATIVO.</t>
  </si>
  <si>
    <t>AMPLIACION DE LA COBERTURA EN LA EDUCACION SUPERIOR</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</si>
  <si>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</si>
  <si>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</si>
  <si>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</si>
  <si>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</si>
  <si>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</si>
  <si>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</si>
  <si>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</si>
  <si>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</si>
  <si>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</si>
  <si>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</si>
  <si>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</si>
  <si>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</si>
  <si>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</si>
  <si>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</si>
  <si>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</si>
  <si>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</si>
  <si>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</si>
  <si>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</si>
  <si>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</si>
  <si>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</si>
  <si>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</si>
  <si>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</si>
  <si>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</si>
  <si>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</si>
  <si>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</si>
  <si>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</si>
  <si>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</si>
  <si>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</si>
  <si>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</si>
  <si>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</si>
  <si>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</si>
  <si>
    <t>Presupuesto de Funcionamiento</t>
  </si>
  <si>
    <t>Gestión con valores para Resultados</t>
  </si>
  <si>
    <t xml:space="preserve">Evaluación de Resultados </t>
  </si>
  <si>
    <t xml:space="preserve">Talento Humano </t>
  </si>
  <si>
    <t xml:space="preserve">Información y Comunicación </t>
  </si>
  <si>
    <t xml:space="preserve">Gestión del Conocimiento y la Innovación </t>
  </si>
  <si>
    <t>Control Interno</t>
  </si>
  <si>
    <t xml:space="preserve">%
Proyectado </t>
  </si>
  <si>
    <t>Indicador de Producto</t>
  </si>
  <si>
    <t>Peso del Indicador dentro del Programa</t>
  </si>
  <si>
    <t>Unidad de Medida</t>
  </si>
  <si>
    <t>Meta</t>
  </si>
  <si>
    <t>Actividades</t>
  </si>
  <si>
    <t>Fecha de Ejecución</t>
  </si>
  <si>
    <t>Inicio
DD/MM/AAAA</t>
  </si>
  <si>
    <t>Final DD/MM/AAAA</t>
  </si>
  <si>
    <t>Otro</t>
  </si>
  <si>
    <t>Componente</t>
  </si>
  <si>
    <t>I TRIMESTRE</t>
  </si>
  <si>
    <t>II TRIMESTRE</t>
  </si>
  <si>
    <t>III TRIMESTRE</t>
  </si>
  <si>
    <t>IV TRIMESTRE</t>
  </si>
  <si>
    <t>Programación Actividades</t>
  </si>
  <si>
    <t>Planeación Institucional</t>
  </si>
  <si>
    <t>Política de gestión presupuestal y eficiencia del gasto público</t>
  </si>
  <si>
    <t>Ventanilla hacia adentro</t>
  </si>
  <si>
    <t>Formular el plan de fortalecimiento institucional para el Sistema de Gestión de la entidad y hacer seguimiento trimestral a los avances del mismo.</t>
  </si>
  <si>
    <t>Formular y ejecutar Plan de trabajo para dar cumplimiento a los requisitos de seguridad digital para la entidad en función de los lineamiento de Min Tic para el efecto.</t>
  </si>
  <si>
    <t>Realizar el plan de trabajo orientado a dar cumplimiento a los requisitos  y procedimientos de defensa judicial, control normativo , conceptualización jurídica, cobro coactivo y demás actividades de defensa jurídica del Estado.</t>
  </si>
  <si>
    <t>Ventanilla hacia afuera</t>
  </si>
  <si>
    <t>Medir el nivel de satisfacción de los ciudadanos con relación a los trámites y servicios que ofrece a Entidad Adscrita y/o Vinculada.</t>
  </si>
  <si>
    <t>Formular y monitorear el plan de racionalización de trámites</t>
  </si>
  <si>
    <t>Gestión Estratégica del Talento Humano</t>
  </si>
  <si>
    <t>Integridad</t>
  </si>
  <si>
    <t>Elaborar y hacer seguimiento al plan de trabajo de la entidad para fortalecer la constitución de alianzas orientadas al fortalecimiento de los fines Misionales de la entidad.</t>
  </si>
  <si>
    <t>Gestión de la información y comunicación</t>
  </si>
  <si>
    <t>Desarrollar una iniciativa de de innovación abierta en la entidad.</t>
  </si>
  <si>
    <t xml:space="preserve">Formular, ejecutar y hacer seguimiento al  plan de accesibilidad para la vigencia. </t>
  </si>
  <si>
    <t>Realizar oportunamente el registro y reporte de novedades y Hojas de vida vinculadas en el SIGEP</t>
  </si>
  <si>
    <t>Formular y ejecutar el Plan de trabajo para el fortalecimiento y cumplimiento de requisitos normativos del  Sistema de gestión documental, acorde con las directrices del Archivo General de la Nación.</t>
  </si>
  <si>
    <t>Gestión Documental</t>
  </si>
  <si>
    <t xml:space="preserve"> Gestión del Conocimiento y la Innovación</t>
  </si>
  <si>
    <t>Seguimiento y evaluación del desempeño institucional</t>
  </si>
  <si>
    <t xml:space="preserve">Desarrollar y hacer seguimiento al plan de trabajo para la gestión del riesgo en la entidad </t>
  </si>
  <si>
    <t>Formular y desarrollar el Programa Anual de Auditoria para evaluar la gestión institucional.</t>
  </si>
  <si>
    <t>Realizar seguimiento al cumplimiento y efectividad de las acciones de mejoramiento generadas en las diferentes fuentes de evaluación.</t>
  </si>
  <si>
    <t>Dimensión o Eje Transversal</t>
  </si>
  <si>
    <t>Nivel de ejecución del plan de acción institucional</t>
  </si>
  <si>
    <t>Porcentaje</t>
  </si>
  <si>
    <t>31/12/2018</t>
  </si>
  <si>
    <t>Desarrollar una iniciativa orientada a fomentar la cultura de la educación en derechos humanos, paz y derecho humanitario</t>
  </si>
  <si>
    <t>Formular o actualizar la caracterización de ciudadanos, usuarios o grupos de interés con los cuales interactúa la entidad, con el fin de fortalecer la atención de sus necesidades, trámites y procesos.</t>
  </si>
  <si>
    <t>Realizar un diagnóstico a nivel interno de la entidad de la capacidad en recursos humanos, fisicos y tecnologicos en función de la prestación del servicio (trámites y servicios)</t>
  </si>
  <si>
    <t>Dar cumplimiento en los tiempos establecidos para compromisos, obligaciones y pagos.</t>
  </si>
  <si>
    <t>Iniciativa desarrollada</t>
  </si>
  <si>
    <t>Numérico</t>
  </si>
  <si>
    <t>Caracterización formulada o actualizada</t>
  </si>
  <si>
    <t>30/09/2018</t>
  </si>
  <si>
    <t>Diagnóstico realizado</t>
  </si>
  <si>
    <t>Porcentaje de cumplimiento en el pago a compromisos</t>
  </si>
  <si>
    <t>Porcentaje de proyectos ajustados</t>
  </si>
  <si>
    <t>30/03/2018</t>
  </si>
  <si>
    <t xml:space="preserve">Formular y ejecutar el Plan de Acción Institucional, articulando los 17 planes solicitados en el MIPG, incluyendo el Plan de anticorrupción y atención al ciudadano, el Plan estratégico del talento humano, el Plan estratégico de tecnologías de la información-PETI y el Plan anual de adquisiciones -PAA. </t>
  </si>
  <si>
    <t>Formular o ajustar el 100% de los proyectos de inversión de  la Entidad Adscrita y/o Vinculada  a la estructura de cadena de valor de los programas presupuestales 2019</t>
  </si>
  <si>
    <t>pocentaje</t>
  </si>
  <si>
    <t>Elaborar la estrategia y herramientas de seguimiento a planes programas y proyectos de la entidad a nivel estrategico táctico y operativo</t>
  </si>
  <si>
    <t>Autodiagnostico FURAG II</t>
  </si>
  <si>
    <t>Realizar el seguimiento y la evaluación al cumplimiento de las metas o el uso de recursos de acuerdo a la planeación institucional, asi como garantizar la toma de decisiones</t>
  </si>
  <si>
    <t>Porcentaje de cumplimiento en los informes de evaluación de riesgos por control interno</t>
  </si>
  <si>
    <t>Realizar evaluación de la gestión de riesgos en la entidad como insumo para la toma de decisiones</t>
  </si>
  <si>
    <t>porcentaje de cumplimiento en reportes externo a nivel nación y sector</t>
  </si>
  <si>
    <t>Asegurar que se reporte en aplicativo Nacional y sectorial la información requerida (SINERGIA, SPI, entre otros)</t>
  </si>
  <si>
    <t xml:space="preserve">Porcentaje de implementación del Modelo Integrado de Planeación II por entidad </t>
  </si>
  <si>
    <t xml:space="preserve">Evaluar el grado de cumplimiento del indice de coherencia y buen gobierno por cada una de las entidades </t>
  </si>
  <si>
    <t xml:space="preserve">Realizar el autodiagnóstico del MIPG V2 para la entidad y elaborar el plan de trabajo pàra fortalecer las poíticas de gestión y desempeño institucional y el cumplimiento de requisitos </t>
  </si>
  <si>
    <t>Realizar la ejecución presupuestal de la entidad realizando los ajustes a los que haya lugar.</t>
  </si>
  <si>
    <t>Formular y ejecutar Plan para la implementación de la Estrategia de Gobierno Digital para la entidad en función de los lineamiento de Min Tic para el efecto y los cuatro ejes que lo comprenden (Tics para gobierno abierto, Tic para servicios, TIC para la gestión y Seguridad de la información) .</t>
  </si>
  <si>
    <t>Realizar la contratación a través  del SECOP II</t>
  </si>
  <si>
    <t xml:space="preserve">Formular y ejecutar el plan de trabajo con los componentes definidos en el numeral 3.2.3.3. del Manual Operativo Sistema de Gestión Mipg para el desarrollo de actividades de gestión ambiental de la entidad. </t>
  </si>
  <si>
    <t>Diseñar  e implementar estrategia de participación ciudadana</t>
  </si>
  <si>
    <t>Porcentaje de cumplimiento en la implementación de estrategia y herramientas para realizar el seguimiento y evaluación del desempeño institucional</t>
  </si>
  <si>
    <t xml:space="preserve">Porcentaje
Proyectado </t>
  </si>
  <si>
    <t>Porcentaje Ejecución Presupuestal</t>
  </si>
  <si>
    <t>Diseñar e implementar el 100Porcentaje la estrategia de rendición de cuentas</t>
  </si>
  <si>
    <t>Porcentaje de cumplimiento del plan de fortalecimiento institucional para el Sistema de Gestión de la entidad</t>
  </si>
  <si>
    <t>Porcentaje de cumplimiento del plan de implementación y estrategia gobierno digital y los cuatro ejes que lo comprenden</t>
  </si>
  <si>
    <t>Porcentaje de cumplimiento del plan de implementación de la estrategia seguridad digital</t>
  </si>
  <si>
    <t xml:space="preserve">Porcentaje de cumplimiento del plan de trabajo de requisitos, procedimientos de defensa judicial, control normativo, conceptualización jurídica, cobro coactivo y demás actividades de defensa jurídica del Estado. </t>
  </si>
  <si>
    <t>Porcentaje de Contratación realizada en el SECOP II</t>
  </si>
  <si>
    <t xml:space="preserve">Porcentaje de cumplimiento del plan de trabajo de actividades de gestión ambiental. </t>
  </si>
  <si>
    <t xml:space="preserve">Porcentaje de Implementación de la herramienta de evaluación de percepción de los ciudadanos </t>
  </si>
  <si>
    <t>Porcentaje de cumplimiento del Plan de Racionalización de Trámites</t>
  </si>
  <si>
    <t>Porcentaje de cumplimiento del Plan de Participación Ciudadana</t>
  </si>
  <si>
    <t>Porcentaje de cumplimiento de actividades de Rendición de Cuentas</t>
  </si>
  <si>
    <t xml:space="preserve">Porcentaje de cumplimiento del plan de trabajo de fortalecimiento de constitución de alianzas orientadas a fortalecimiento de los fines  actividades de alianzas </t>
  </si>
  <si>
    <t>Plan de trabajo elaborado y publicado</t>
  </si>
  <si>
    <t xml:space="preserve">Procentaje de ejecución del plan </t>
  </si>
  <si>
    <t>Numero de informes de PQRSD publicados</t>
  </si>
  <si>
    <t>Registrar, clasificar y realizar seguimiento la atención de PQRSD realizadas por los grupos de valor y las partes interesadas</t>
  </si>
  <si>
    <t>Procentaje de información publicada de acuerdo con el cronograma establecido</t>
  </si>
  <si>
    <t>Realizar programación de la actualización de la información institucional derivada del cumplimiento de la Ley 1712 de 2014. Decreto 103 de 2015 y Resolución 3564 de 2015.</t>
  </si>
  <si>
    <t>No. de iniciativas de innovación abierta implementadas</t>
  </si>
  <si>
    <t>Número</t>
  </si>
  <si>
    <t>1 documento con la metodología/procedimiento(s) y la estrategia definidos al interior de cada entidad</t>
  </si>
  <si>
    <t>Definir  o ajustar la  metodología/procedimiento(s) y la estrategia en cada entidad para la gestión del conocimiento  como parte de la implementación del MIPG V2</t>
  </si>
  <si>
    <t>100% del plan de trabajo ejecutado</t>
  </si>
  <si>
    <t>Definir y ejecutar un plan de trabajo a través del cual se desarrolle una estrategia de aprendizaje organizacional en cada entidad para la gestión del conocimiento  en la que se incorporen los ejes de: generación y producción del conocimiento, cultura de compartir y difundir, herramientas para uso y apropiación, analítica institucional</t>
  </si>
  <si>
    <t>% de cumplimiento en la deficinión o ajuste de la metodología/procedimiento(s) y la estrategia para la gestión del conocimiento</t>
  </si>
  <si>
    <t>% de cumplimiento definición y ejecución plan de trabajo</t>
  </si>
  <si>
    <t xml:space="preserve">Cumplimiento Plan Estrategico TH </t>
  </si>
  <si>
    <r>
      <rPr>
        <b/>
        <sz val="11"/>
        <rFont val="Calibri"/>
        <family val="2"/>
        <scheme val="minor"/>
      </rPr>
      <t xml:space="preserve">DISEÑAR, ACTUALIZAR Y HACER SEGUIMIENTO AL PLAN ESTRATEGICO DE TALENTO HUMANO: </t>
    </r>
    <r>
      <rPr>
        <sz val="11"/>
        <rFont val="Calibri"/>
        <family val="2"/>
        <scheme val="minor"/>
      </rPr>
      <t xml:space="preserve">Actualizar y hacer seguimiento del plan estratégico de Talento Humano, con todos los componentes definidos y rutas determinadas por el MIPG. </t>
    </r>
  </si>
  <si>
    <t>01/0172018</t>
  </si>
  <si>
    <t xml:space="preserve">30/032018 </t>
  </si>
  <si>
    <t xml:space="preserve">Poblacion Caracterizada </t>
  </si>
  <si>
    <t>100 % Población Caracterizada</t>
  </si>
  <si>
    <r>
      <rPr>
        <b/>
        <sz val="11"/>
        <rFont val="Calibri"/>
        <family val="2"/>
        <scheme val="minor"/>
      </rPr>
      <t xml:space="preserve">DIRECCIONAMIENTO  PLANEACION Y CARACTERIZACION : </t>
    </r>
    <r>
      <rPr>
        <sz val="11"/>
        <rFont val="Calibri"/>
        <family val="2"/>
        <scheme val="minor"/>
      </rPr>
      <t xml:space="preserve"> 
1. Realizar la caracterización de  los servidores de Entidad Adscrita y/o Vinculada y su núcleo familiar. 
2. Realizar el diagnòstico del talento humano de la misma en los componentes del PETH, referencia Matriz GETH. ( Medicion y seguimiento) </t>
    </r>
  </si>
  <si>
    <t xml:space="preserve">
Realizado el diagnostico de la población al 100% </t>
  </si>
  <si>
    <t xml:space="preserve">Implementación SG- SST </t>
  </si>
  <si>
    <r>
      <rPr>
        <b/>
        <sz val="11"/>
        <rFont val="Calibri"/>
        <family val="2"/>
        <scheme val="minor"/>
      </rPr>
      <t xml:space="preserve">SGSST: </t>
    </r>
    <r>
      <rPr>
        <sz val="11"/>
        <rFont val="Calibri"/>
        <family val="2"/>
        <scheme val="minor"/>
      </rPr>
      <t xml:space="preserve">Desarrollar el plan de trabajo para el Sistema  de seguridad y salud en el trabajo y hacer medición y seguimiento a su impacto </t>
    </r>
  </si>
  <si>
    <t xml:space="preserve">Fortalecimiento y desarrollo del Talento Humano </t>
  </si>
  <si>
    <r>
      <rPr>
        <b/>
        <sz val="11"/>
        <rFont val="Calibri"/>
        <family val="2"/>
        <scheme val="minor"/>
      </rPr>
      <t xml:space="preserve">FORTALECIMIENTO Y DESARROLLO DEL TALENTO HUMANO : </t>
    </r>
    <r>
      <rPr>
        <sz val="11"/>
        <rFont val="Calibri"/>
        <family val="2"/>
        <scheme val="minor"/>
      </rPr>
      <t xml:space="preserve">Formular y hacer seguimiento a los planes asociados al  crecimiento y desarrollo profesional de la entidad  (Clima Organizacional, Plan de bienestar, Incentivos, Inducción y Reinducción, 
Capacitación, Desarrollo de Competencias, Cultura Organizacional), Uso y apropiación de TIC,  Gestion del Conocimiento. </t>
    </r>
  </si>
  <si>
    <r>
      <rPr>
        <b/>
        <sz val="11"/>
        <rFont val="Calibri"/>
        <family val="2"/>
        <scheme val="minor"/>
      </rPr>
      <t xml:space="preserve">VINCULACION, DESARROLLO Y CRECIMIENTO Y DESVINCULACION   LABORAL: </t>
    </r>
    <r>
      <rPr>
        <sz val="11"/>
        <rFont val="Calibri"/>
        <family val="2"/>
        <scheme val="minor"/>
      </rPr>
      <t>Ejecutar las actividades de vinculo laboral  de acuerdo con las necesidades de la entidad y garantizando su oportunidad (Plan de Vacantes,  planta de personal,  Vinculación por mérito, movilidad, caracterización del talento humano, plan de vacantes, ley de cuotas, SIGEP, evaluación de desempeño, acuerdos de gestión,Mejoramiento Individual,
análisis de razones de retiro, evaluación de competencias, valores, gestión de conflictos, gerencia pública, desarrollo de competencias gerenciales, acuerdos de gestión, trabajo en equipo.</t>
    </r>
  </si>
  <si>
    <t xml:space="preserve">Cumplimiento plan Ambiente y Cultura  Laboral </t>
  </si>
  <si>
    <t xml:space="preserve">Cumplimiento  Plan Implementación Código de Integridad </t>
  </si>
  <si>
    <r>
      <rPr>
        <b/>
        <sz val="11"/>
        <rFont val="Calibri"/>
        <family val="2"/>
        <scheme val="minor"/>
      </rPr>
      <t xml:space="preserve">INTEGRIDAD : </t>
    </r>
    <r>
      <rPr>
        <sz val="11"/>
        <rFont val="Calibri"/>
        <family val="2"/>
        <scheme val="minor"/>
      </rPr>
      <t>Adoptar, Divulgar, ajustar a la entidad y realizar el plan de trabajo para implementación del Código de Integridad</t>
    </r>
  </si>
  <si>
    <t>Númerico</t>
  </si>
  <si>
    <r>
      <rPr>
        <b/>
        <sz val="11"/>
        <rFont val="Calibri"/>
        <family val="2"/>
        <scheme val="minor"/>
      </rPr>
      <t xml:space="preserve">AMBIENTE Y CULTURA ORGANIZACIONAL :
</t>
    </r>
    <r>
      <rPr>
        <sz val="11"/>
        <rFont val="Calibri"/>
        <family val="2"/>
        <scheme val="minor"/>
      </rPr>
      <t>Formular y hacer seguimiento al plan para fortalecer el ambiente laboral y la cultura organizacional de la entidad, Teletrabajo, Ambiente Laboral, Horarios flexibles, Gestión del conflicto, Dialogo social y concertación, Seguridad de la Información ) rendición de cuentas.</t>
    </r>
  </si>
  <si>
    <t>Estrategia "Mejorando Ando"</t>
  </si>
  <si>
    <t>Desarrollar una estrategia para fortalecer la cultura del autocontrol y  la autoevaluación en la entidad.
Interrelación con las áreas</t>
  </si>
  <si>
    <t>Plan de Trabajo para la Gestión del Riesgo</t>
  </si>
  <si>
    <t>Programa Anual de Auditoría</t>
  </si>
  <si>
    <t xml:space="preserve">Plan de Mejoramiento </t>
  </si>
  <si>
    <t>Cumplimiento plan de trabajo de Vinculación, Desarrollo Y Crecimiento Y Desvinculación   Laboral</t>
  </si>
  <si>
    <t>Formular el presupuesto armonizando  la planeación estratégica y la programación presupuestal para la toma de decisiones.</t>
  </si>
  <si>
    <t>Porcentaje de presentación de informes en comités o comité de gestión y desempeño institucional</t>
  </si>
  <si>
    <t>Realizar, ejecutar y hacer seguimiento a la estrategia de comunicación externa e interna para  visibilizar la gestión institucional  (ciudadanos, proveedores, contratistas, organismos de control, fuentes de financiación, colaboradores y otros organismos).</t>
  </si>
  <si>
    <t>Presupuesto programado</t>
  </si>
  <si>
    <t xml:space="preserve">Estrategia de comunicaciones elaborada </t>
  </si>
  <si>
    <t>Porcentaje de ejecución de la estrategia</t>
  </si>
  <si>
    <t xml:space="preserve">PLAN MISIONAL Y DE GOBIERNO </t>
  </si>
  <si>
    <t>Final 
DD/MM/AAAA</t>
  </si>
  <si>
    <t>MEN</t>
  </si>
  <si>
    <t>Direccionamiento Estrategico</t>
  </si>
  <si>
    <t>Gestión Misional y de Gobierno</t>
  </si>
  <si>
    <t xml:space="preserve">Acompañar a las Secretarías de Educación Certificadas en el seguimiento pedagógico a sus Establecimientos Educativos </t>
  </si>
  <si>
    <t>Mejorar la Calidad de la educación en los niveles Preescolar, Básica y Media</t>
  </si>
  <si>
    <t>Asistentes nativos extranjeros en procesos de co-enseñanza con docentes de inglés del sector oficial 2.1.6.1</t>
  </si>
  <si>
    <t>Aulas ampliadas o mejoradas en zonas urbanas o rurales</t>
  </si>
  <si>
    <t xml:space="preserve">Incrementar y mejorar la infraestructura educativa para los niveles de educación  preescolar, básica y media en zonas urbana y rural del territorio nacional. </t>
  </si>
  <si>
    <t xml:space="preserve">Aulas nuevas construidas en zonas urbanas o rurales </t>
  </si>
  <si>
    <t>Capacitaciones a Formadores y Tutores para acompañar a EE de bajo de desempeño</t>
  </si>
  <si>
    <t xml:space="preserve">Complementos alimentarios entregados.  </t>
  </si>
  <si>
    <t>Contribuir con el acceso y la permanencia escolar de los niños, niñas y adolescentes en edad escolar, registrados en la matricula oficial.</t>
  </si>
  <si>
    <t>Componentes ejecutados del Plan de Asistencia Técnica de la Subdirección de Fortalecimiento, en relación con las 95 ETC.</t>
  </si>
  <si>
    <t>Fortalecer la capacidad de gestión de las secretarías de educación,  los establecimientos educativos, y la política educativa para grupos étnicos.</t>
  </si>
  <si>
    <t xml:space="preserve">Educadores formados con competencias comunicativas </t>
  </si>
  <si>
    <t xml:space="preserve">Entidades territoriales certificadas que han implementado la política de bienestar </t>
  </si>
  <si>
    <t>Establecimientos Educativos con materiales de inglés distribuidos</t>
  </si>
  <si>
    <t xml:space="preserve">Estudiantes que participan de estrategias de seguimiento periódico de los aprendizajes </t>
  </si>
  <si>
    <t>Estudiantes que participan en las campañas e iniciativas para el fomento de competencias comunicativas 2.1.2.2</t>
  </si>
  <si>
    <t>Estudiantes que se presentan en la plataforma Supérate con el Saber</t>
  </si>
  <si>
    <t>Evento Central Foro Educativo Nacional realizado</t>
  </si>
  <si>
    <t>Formación a docentes de Establecimientos Educativos de bajo desempeño</t>
  </si>
  <si>
    <t xml:space="preserve">Formación a Docentes de Preescolar, básica y media </t>
  </si>
  <si>
    <t>Índice Sintético de Calidad construido y reportes escolares para las IE y las SE producidos y divulgados</t>
  </si>
  <si>
    <t>Mejorar la gestión académica, administrativa,  financiera y relacional en los establecimientos educativos a través del fortalecimiento de la capacidad institucional de las Entidades Territoriales Certificadas y de las competencias comportamentales y funcionales de los directivos docentes en torno a un modelo de gestión institucional.</t>
  </si>
  <si>
    <t xml:space="preserve">Informe de asistencia técnica por Entidad Territorial Certificada consolidado </t>
  </si>
  <si>
    <t>Material educativo para los  EE del Programa Todos a Aprender y Jornada Única</t>
  </si>
  <si>
    <t>Modelo de prestación oficial del servicio implementado en entidades territoriales</t>
  </si>
  <si>
    <t xml:space="preserve">Dotar a las entidades territoriales y los prestadores del servicio  de instrumentos y estrategias de política pública en educación inicial
</t>
  </si>
  <si>
    <t xml:space="preserve">Niños, niñas, adolescentes y jóvenes víctimas  atendidos con Modelos Educativos Flexibles </t>
  </si>
  <si>
    <t>Incrementar el acceso y  la  permanencia en la educación preescolar, básica y media de los niños, niñas adolescentes, jóvenes y adultos  víctimas del conflicto armado interno en situaciones de riesgo y/o emergencia.</t>
  </si>
  <si>
    <t xml:space="preserve">Nuevos jóvenes y adultos mayores de 15 años alfabetizados </t>
  </si>
  <si>
    <t>Plan estratégico de comunicaciones y actividades de promoción y divulgación del PAE ejecutado</t>
  </si>
  <si>
    <t xml:space="preserve">Proyectos de infraestructura educativa desarrollados                                                                                                                                                                                                                                                                                                                         </t>
  </si>
  <si>
    <t>Secretarias de Educación que conocen y desarrollan la estrategia nacional para la excelencia del talento humano</t>
  </si>
  <si>
    <t>Sedes educativas dotadas de material educativo por parte de los programas de la Dirección de Calidad en 2018</t>
  </si>
  <si>
    <t xml:space="preserve">Servicios de asistencia técnica a Entidades territoriales certificadas para la implementación de planes de educación, que permiten la atención de la población del medio rural y víctima  
</t>
  </si>
  <si>
    <t xml:space="preserve">Servicios de asistencia técnica a las Secretarías de Educación para la formulación de Planes de Acción que permitan la atención  educativa a población vulnerable y víctima del conflicto armado. </t>
  </si>
  <si>
    <t>Servicios de asistencia técnica y monitoreo a Secretarías de Educación de Entidades Territoriales  Certificadas, en estrategias de acceso y permanencia realizadas. 3.1.1</t>
  </si>
  <si>
    <t>Sistema de gestión de la calidad parametrizado para Entidades Territoriales</t>
  </si>
  <si>
    <t xml:space="preserve">Adjudicación de crédito educativo para Posgrado en Derecho Internacional </t>
  </si>
  <si>
    <t>Adjudicación de crédito educativo para Posgrado en Derecho Internacional Humanitario - Alfonso López Michelsen. 5.4.5.2</t>
  </si>
  <si>
    <t xml:space="preserve">Adjudicación de nuevos créditos condonables a población indígena </t>
  </si>
  <si>
    <t>Adjudicación de nuevos créditos condonables a población indígena 5.4.2.6</t>
  </si>
  <si>
    <t xml:space="preserve">Adjudicar nuevos créditos a población víctima (Matrícula, sostenimiento y permanencia) </t>
  </si>
  <si>
    <t>Adjudicar nuevos créditos a población víctima (Matrícula, sostenimiento y permanencia) 5.4.3.1</t>
  </si>
  <si>
    <t xml:space="preserve">Créditos adjudicados en todas las lìneas </t>
  </si>
  <si>
    <t>Créditos adjudicados en todas las lìneas 5.4.7.1</t>
  </si>
  <si>
    <t xml:space="preserve">Créditos condonables adjudicados a poblacion en condición de discapacidad </t>
  </si>
  <si>
    <t>Créditos condonables adjudicados a poblacion en condición de discapacidad 5.4.2.5</t>
  </si>
  <si>
    <t xml:space="preserve">Créditos condonables adjudicados para población afrodescendiente </t>
  </si>
  <si>
    <t>Créditos condonables adjudicados para población afrodescendiente 5.4.2.8</t>
  </si>
  <si>
    <t xml:space="preserve">Créditos condonables para población ROM </t>
  </si>
  <si>
    <t>Créditos condonables para población ROM 5.4.2.10</t>
  </si>
  <si>
    <t>Créditos condonables renovados a afrosdescendientes</t>
  </si>
  <si>
    <t>Créditos condonables renovados a afrosdescendientes  5.4.2.9</t>
  </si>
  <si>
    <t xml:space="preserve">Créditos educativos adjudicados posgrado para maestros </t>
  </si>
  <si>
    <t>Créditos educativos adjudicados posgrado para maestros 5.4.8.1</t>
  </si>
  <si>
    <t xml:space="preserve">Créditos educativos condonados por buenos resultados en las pruebas Saber Pro </t>
  </si>
  <si>
    <t>Créditos educativos condonados por buenos resultados en las pruebas Saber Pro 5.4.9.1</t>
  </si>
  <si>
    <t>Créditos educativos renovados a Médicos para realizar especializaciones en salud 5.4.4.2</t>
  </si>
  <si>
    <t xml:space="preserve">Créditos educativos renovados en todas las lìneas </t>
  </si>
  <si>
    <t>Créditos educativos renovados en todas las lìneas 5.4.7.2</t>
  </si>
  <si>
    <t xml:space="preserve">Créditos educativos renovados posgrado para maestros </t>
  </si>
  <si>
    <t>Créditos educativos renovados posgrado para maestros 5.4.8.2</t>
  </si>
  <si>
    <t xml:space="preserve">Estrategia de acompañamiento a IES para el mejoramiento de sus condiciones de calidad implementada </t>
  </si>
  <si>
    <t>Estrategia de acompañamiento a IES para el mejoramiento de sus condiciones de calidad implementada 5.1.2.1</t>
  </si>
  <si>
    <t xml:space="preserve">Estrategias para la formulación, monitoreo y evaluación de la información de educación superior y su articulación con otros sectores implementadas </t>
  </si>
  <si>
    <t>Estrategias para la formulación, monitoreo y evaluación de la información de educación superior y su articulación con otros sectores implementadas 5.1.4.2</t>
  </si>
  <si>
    <t>Nuevas becas de la convocatoria del 0,1% de los mejores Saber Pro 5.4.5.1</t>
  </si>
  <si>
    <t>Recursos invertidos para disminución de tasa de interés de créditos en etapa de amortización de beneficiarios de estratos 1, 2 y 3 revisar si el compromiso está en cantidad de recursos y no en número o % de créditos a los que se les reduce la tasa de interés-</t>
  </si>
  <si>
    <t xml:space="preserve">Renovar créditos condonables a la población indígena </t>
  </si>
  <si>
    <t>Renovar créditos condonables a la población indígena 5.4.2.7</t>
  </si>
  <si>
    <t xml:space="preserve">Servicios de acompañamiento a las IES en los procesos de aseguramiento y mejoramiento de la calidad para la Educación Superior. </t>
  </si>
  <si>
    <t>Servicios de acompañamiento a las IES en los procesos de aseguramiento y mejoramiento de la calidad para la Educación Superior. 4.1.1.4</t>
  </si>
  <si>
    <t xml:space="preserve">Solicitudes de Acreditación atendidas </t>
  </si>
  <si>
    <t>Solicitudes de Acreditación atendidas 4.1.1.2</t>
  </si>
  <si>
    <t>Subsidios de sostenimiento adjudicados a grupos focalizados por SISBEN (Incluye Subsidios de sostenimiento  y condonación del 25% sobre l crédito educativo)</t>
  </si>
  <si>
    <t>Subsidios de sostenimiento adjudicados a grupos focalizados por SISBEN (Incluye Subsidios de sostenimiento  y condonación del 25% sobre el crédito educativo)</t>
  </si>
  <si>
    <t xml:space="preserve">Subsidios de sostenimiento adjudicados a grupos focalizados por SISBEN </t>
  </si>
  <si>
    <t>Subsidios de sostenimiento adjudicados a grupos focalizados por SISBEN 5.4.2.1</t>
  </si>
  <si>
    <t xml:space="preserve">Contenidos educativos digitales, plataformas educativas y servicios del Portal consultados  </t>
  </si>
  <si>
    <t>Fortalecer  la gestión sectorial y la capacidad institucional para mejorar la calidad educativa del País</t>
  </si>
  <si>
    <t>Créditos-Beca "Ser Pilo Paga" educativos adjudicados pregrado</t>
  </si>
  <si>
    <t>Créditos-Beca "Ser Pilo Paga" educativos adjudicados pregrado 5.4.6.2</t>
  </si>
  <si>
    <t>ICETEX</t>
  </si>
  <si>
    <t>Nuevos créditos a población víctima (Matrícula, sostenimiento y permanencia)</t>
  </si>
  <si>
    <t>nuevos créditos para la poblacion victima</t>
  </si>
  <si>
    <t>Adjudicar nuevos créditos para la poblacion victima</t>
  </si>
  <si>
    <t>Adjudicar nuevos creditos para Sostenimiento a la poblacion victima</t>
  </si>
  <si>
    <t>Adjudicar nuevos creditos para Permanencia a la poblacion victima</t>
  </si>
  <si>
    <t>Renovar Creditos</t>
  </si>
  <si>
    <t>Subsidios de sostenimiento adjudicados a grupos focalizados por SISBEN</t>
  </si>
  <si>
    <t>Subsidios adjudicados</t>
  </si>
  <si>
    <t>Adjudicar Subsidios</t>
  </si>
  <si>
    <t>Subsidios de sostenimiento renovados a grupos focalizados por Sisbén - Condonación del 25% sobre el crédito educativo</t>
  </si>
  <si>
    <t>Subsidios renovados</t>
  </si>
  <si>
    <t>Renovar Subsidios</t>
  </si>
  <si>
    <t>Créditos condonables adjudicados a población en condición de discapacidad</t>
  </si>
  <si>
    <t>Creditos Condonables adjudicados</t>
  </si>
  <si>
    <t>Adjudicar Creditos Condonables</t>
  </si>
  <si>
    <t>Renovar créditos condonables</t>
  </si>
  <si>
    <t>Adjudicación de nuevos créditos condonables a población indígena</t>
  </si>
  <si>
    <t>Adjudicar nuevos créditos Condonables</t>
  </si>
  <si>
    <t>Renovar créditos condonables a la población indígena</t>
  </si>
  <si>
    <t>créditos Condonables renovados</t>
  </si>
  <si>
    <t>Renovar créditos Condonables</t>
  </si>
  <si>
    <t>Créditos condonables adjudicados para población afrodescendiente</t>
  </si>
  <si>
    <t>Adjudicar nuevos créditos</t>
  </si>
  <si>
    <t>Créditos condonables renovados a afrodescendientes</t>
  </si>
  <si>
    <t>Renovar nuevos créditos</t>
  </si>
  <si>
    <t>Créditos condonables para población ROM</t>
  </si>
  <si>
    <t>Condonación del 25% de la matricula a los estudiantes de educacion superior desde 2011</t>
  </si>
  <si>
    <t>Créditos condonados</t>
  </si>
  <si>
    <t>Condonar el 25% de la matricula a los estudiantes de educacion superior desde 2011</t>
  </si>
  <si>
    <t>Subsidios de matrícula adjudicados a Mejores Bachilleres - Ley 1546 de 2012</t>
  </si>
  <si>
    <t>Adjudicar y/o renovar Beca "Jóvenes ciudadanos de Paz"</t>
  </si>
  <si>
    <t>Otorgar la Beca "Omaira Sánchez"</t>
  </si>
  <si>
    <t>Subsidios de sostenimiento a los mejores bachilleres - Ley 1546 de 2012</t>
  </si>
  <si>
    <t>Subsidios de Sostenimiento renovados</t>
  </si>
  <si>
    <t>Renovar Subsidios de Sostenimiento</t>
  </si>
  <si>
    <t>Nuevas becas y renovación de la convocatoria del 0,1% de los mejores Saber Pro</t>
  </si>
  <si>
    <t>Nuevas becas para maestría y doctorado</t>
  </si>
  <si>
    <t>Renovar becas para maestría y doctorado</t>
  </si>
  <si>
    <t>Adjudicación de crédito educativo para Posgrado en Derecho Internacional Humanitario - Alfonso López Michelsen.</t>
  </si>
  <si>
    <t>Becas adjudicadas</t>
  </si>
  <si>
    <t>Adjudicar la beca Alfonso Lopez Michelsen para Derecho Internacional Humanitario</t>
  </si>
  <si>
    <t>nuevos créditos para Ser Pilo Paga.</t>
  </si>
  <si>
    <t>Adjudicar nuevos créditos para Ser Pilo Paga.</t>
  </si>
  <si>
    <t>Adjudicar nuevos subsidios para Ser Pilo Paga.</t>
  </si>
  <si>
    <t>Renovar Creditos Ser Pilo Paga.</t>
  </si>
  <si>
    <t>Renovar Subsidios de Sostenimiento Ser Pilo Paga.</t>
  </si>
  <si>
    <t>Créditos educativos adjudicados posgrado por cohorte para maestros</t>
  </si>
  <si>
    <t>créditos adjudicados</t>
  </si>
  <si>
    <t>Adjudicar créditos</t>
  </si>
  <si>
    <t>Creditos Educativos Renovados Posgrado para Maestros</t>
  </si>
  <si>
    <t>Creditos Educativos renovados</t>
  </si>
  <si>
    <t>Renovar Creditos Educativos para Maestros</t>
  </si>
  <si>
    <t>Créditos educativos condonados por buenos resultados en las pruebas Saber Pro</t>
  </si>
  <si>
    <t>Creditos condonados</t>
  </si>
  <si>
    <t>Condonar Creditos Educativos de Pregrado</t>
  </si>
  <si>
    <t>Créditos educativos adjudicados en todas las lineas ICETEX</t>
  </si>
  <si>
    <t>Creditos adjudicados</t>
  </si>
  <si>
    <t>Adjudicar Creditos</t>
  </si>
  <si>
    <t>Créditos educativos renovados en todas las lineas Icetex</t>
  </si>
  <si>
    <t>Créditos renovados</t>
  </si>
  <si>
    <t>Renovar Créditos</t>
  </si>
  <si>
    <t>Recursos invertidos para disminución de tasa de interés de créditos en etapa de amortización de beneficiarios de estratos 1, 2 y 3 revisar si el compr</t>
  </si>
  <si>
    <t>porcentaje de créditos con tasa ajustada en amortización</t>
  </si>
  <si>
    <t>Ajustar tasas de interés de créditos en amortización</t>
  </si>
  <si>
    <t>Créditos educativos renovados a Médicos para realizar especializaciones en salud</t>
  </si>
  <si>
    <t>ICFES</t>
  </si>
  <si>
    <t>Esquema tarifario para las pruebas SABER del estado</t>
  </si>
  <si>
    <t>Porcentaje de construcción del  Esquema tarifario</t>
  </si>
  <si>
    <t>Definir los costos unitarios promedio de cada una de las actividades que componen la cadena de valor.</t>
  </si>
  <si>
    <t>Pruebas adaptativas y pruebas por computador</t>
  </si>
  <si>
    <t>Porcentaje de pruebas soportadas electrónicamente</t>
  </si>
  <si>
    <t xml:space="preserve">1. Consolidar un estudio de mercado que determine la viabilidad  e impacto de la aplicación de pruebas adaptativas en el país.
Probar/Implementar algoritmos de selección agrupada de ítems (Stratified Selectors).
</t>
  </si>
  <si>
    <t xml:space="preserve">Actualización de la metodología de calificación de las pruebas de estado al modelo 3PL </t>
  </si>
  <si>
    <t>1-Porcentaje de calidad y oportunidad de las bases de datos de asignación de puntajes  semestral. 2- Porcentaje de calidad y oportunidad de los Manuales de Procesamiento  semestral.</t>
  </si>
  <si>
    <t>Aplicar la metodología 3PL en las pruebas que se apliquen hasta el año 2026 cumpliendo con las directrices frente a la comparabilidad de las pruebas.</t>
  </si>
  <si>
    <t>Retroalimentación de Pruebas y Resultados</t>
  </si>
  <si>
    <t xml:space="preserve">Cobertura de las estrategias de divulgación </t>
  </si>
  <si>
    <t xml:space="preserve">Fortalecer el análisis de información de los resultados y factores asociados a la calidad de la educación para identificar elementos diferenciadores en el proceso educativo. 
</t>
  </si>
  <si>
    <t>Pruebas por computador</t>
  </si>
  <si>
    <t>Porcentaje de pruebas aplicadas de manera electrónica</t>
  </si>
  <si>
    <t>Aplicar de manera electrónica las pruebas definidas para el 2018.</t>
  </si>
  <si>
    <t xml:space="preserve">Nuevos Negocios para la generación de Ingresos </t>
  </si>
  <si>
    <t xml:space="preserve">Porcentaje de Ingresos generados por nuevos negocios </t>
  </si>
  <si>
    <t>Actualizar y documentar el modelo de negocio</t>
  </si>
  <si>
    <t>Agenda de investigación</t>
  </si>
  <si>
    <t>Número de Investigaciones desarrolladas con información institucional</t>
  </si>
  <si>
    <t>Agenda de investigación interna</t>
  </si>
  <si>
    <t>INCI</t>
  </si>
  <si>
    <t>Asistencias técnicas realizadas</t>
  </si>
  <si>
    <t xml:space="preserve">Brindar servicios de asistencia técnica a entidades de la administración pública en implementación y/o mejoramiento de procesos para el goce efectivo de los derechos de las personas con discapacidad visual </t>
  </si>
  <si>
    <t xml:space="preserve"> Libros y textos escolares producidos en braille, relieve y macrotipo</t>
  </si>
  <si>
    <t xml:space="preserve">Producir libros y textos escolares en formatos accesibles de braille, relieve, macrotipo y digitales y otras ayudas técnicas para la población con discapacidad visual </t>
  </si>
  <si>
    <t xml:space="preserve">Libros y textos escolares producidos  en formato digital accesible </t>
  </si>
  <si>
    <t xml:space="preserve">Producir libros y textos escolares producidos  en formato digital accesible para las personas con discapacidad visual </t>
  </si>
  <si>
    <t xml:space="preserve">Libros digitales accesibles descargados </t>
  </si>
  <si>
    <t xml:space="preserve">Promover las descargas de libros digitales accesibles de la biblioteca virtual para personas con discapacidad visual </t>
  </si>
  <si>
    <t>INSOR</t>
  </si>
  <si>
    <t>95 entidades territoriales asesoradas presencial y virtualmente parala implementación del decreto 1421 de 2017 -Oferta bilingue y en los diferentes frentes de trabajo del proyecto Colombia primera en educación 
1500  agentes educativos cualificados que atienden población sorda</t>
  </si>
  <si>
    <t xml:space="preserve">Implementar  una estrategia de asesoría  y asistencia tecnica dirigida a 95 entidades territoriales en todos los frentes de trabajo del proyecto Colombia primera en educación para poblacion sorda en coherencia con la normatividad vigente </t>
  </si>
  <si>
    <t>1 Documento consolidado: Estrategia de atención integral para el mejoramiento de la calidad educativa de la población sorda</t>
  </si>
  <si>
    <t>Realizar la consolidación de documentos y produccion de lineamientos que sustentan  la estrategia integral para el mejoramiento de la calidad educativa de la poblacion sorda</t>
  </si>
  <si>
    <t>1 Dcumento de implementación de estrategia de asesoría y asistencia técnica: Criterios para la inclusión de estudiantes sordos en educación superior</t>
  </si>
  <si>
    <t>Promover acciones para mejorar el acceso y permanencia en educación superior para la población sorda</t>
  </si>
  <si>
    <t>4 ajustes razonables a los procesos de enseñanza-aprendizaje y de evaluación de las personas sordas y hasta 120 contenidos educativos accesibles diseñados</t>
  </si>
  <si>
    <t xml:space="preserve">
Realizar los ajustes a las pruebas Saber 11 y Construir recursos educativos accesibles para la educación de la poblacion sorda colombiana</t>
  </si>
  <si>
    <t>Informe de contenidos pedagogicoas parala construccion del diseño curricular de programas de formación de intérpretes en educación superior</t>
  </si>
  <si>
    <t xml:space="preserve">Implementacion de strategia de asesoría y asistencia técnica para el fomento de programas de  formación de intérpretes LSC-español </t>
  </si>
  <si>
    <t>FODESEP</t>
  </si>
  <si>
    <t>ETITC</t>
  </si>
  <si>
    <t>Facultades caracterizadas</t>
  </si>
  <si>
    <t>Mejorar la calidad de vida de la comunidad universitaria mediante la caraterización de los estudiantes. Al menos Programas de educación superior</t>
  </si>
  <si>
    <t>Programas de Educación Superior acreditados o con visita de pares</t>
  </si>
  <si>
    <t>Acreditar los programas de Educación Superior de la ETITC o al menos obtener la visita de pares</t>
  </si>
  <si>
    <t>INFOTEP SAN JUAN DEL CESAR</t>
  </si>
  <si>
    <t>Programas nuevos con solicitud de registro calificado</t>
  </si>
  <si>
    <t>Realizar los estudios  y diseños para cuatro (4)  nuevos programas académicos para solicitud de registro calificado en el CONACES</t>
  </si>
  <si>
    <t>Estrategias de Marketing Implementadas</t>
  </si>
  <si>
    <t>Realizar diseñar e implementar una (1) estrategia de Marketing para mejorar la cobertura de los programas exitentes</t>
  </si>
  <si>
    <t>Docentes formados en posgrados</t>
  </si>
  <si>
    <t>Apoyar la Formación de Docentes en Postgrados</t>
  </si>
  <si>
    <t>Puntos Incrementados en la Pruebas</t>
  </si>
  <si>
    <t>Formar y capacitar a estudiante y docentes en las pruebas Saber Pro para Incrementar el promedio alcanzanzado en las pruebas en las  competencias evaluadas tomando como base los promedios alcanzados en los periodos 2017.</t>
  </si>
  <si>
    <t>Eventos de capacitación Realizados</t>
  </si>
  <si>
    <t>Realizar cuatro (4) enventos de capacitación  a docentes en competencias investigativas, Metodologicas y  pedagógicas.</t>
  </si>
  <si>
    <t>Instituciones Articuladas</t>
  </si>
  <si>
    <t>Fortalecer el programa de articulación con las  seis (6) instituciones de educación media.</t>
  </si>
  <si>
    <t>Grupos de Investigación Categorizados Fortalecidos</t>
  </si>
  <si>
    <t>Formular y ejecutar un plan de Trabajo para Fortalecer y consolidar las competencia investigativas  de los Cuatro (4) grupos de investigación actualmente categorizados en COLCIENCIAS</t>
  </si>
  <si>
    <t>INFOTEP SAN ANDRÉS</t>
  </si>
  <si>
    <t>Incrementar el número de estudiantes matriculados en diplomados y eventos de educación continua con respecto al año 2017</t>
  </si>
  <si>
    <t>Realizar diplomados y eventos de educación continua</t>
  </si>
  <si>
    <t>Número de estrategias de comunicación ejecutadas</t>
  </si>
  <si>
    <t>Promocionar y divulgar las actividades académicas, de proyección Social y extensión</t>
  </si>
  <si>
    <t>Número de campañas de divulgación ejecutadas</t>
  </si>
  <si>
    <t xml:space="preserve">Total de alianzas establecidas </t>
  </si>
  <si>
    <t>Fortalecer la integración de la institución con el sector productivo, egresados y la comunidad</t>
  </si>
  <si>
    <t>Formular proyectos de investigación</t>
  </si>
  <si>
    <t>Fortalecer los semilleros de Investigación</t>
  </si>
  <si>
    <t>Asistir a las sesiones programadas de capacitación
Obtener la certificación por parte de los servidores del instituto</t>
  </si>
  <si>
    <t>Realizar y/o participar eventos de capacitación  para fortalecer las capacidades investigativas</t>
  </si>
  <si>
    <t>Asistir a eventos académico a nivel nacional
Asistir a un (1) evento académico a nivel internacional</t>
  </si>
  <si>
    <t xml:space="preserve">Participar en eventos académicos misionales en el orden nacional e internacional </t>
  </si>
  <si>
    <t>Conformar administrativamente unidad - equipo de Emprendimiento
Formular un (1) proyecto de Emprendimiento
Inscripción de un (1) proyecto en uno de los fondos de financiación</t>
  </si>
  <si>
    <t>Conformar la Unidad de Emprendimiento</t>
  </si>
  <si>
    <t xml:space="preserve">Registrar un nuevo programa académico </t>
  </si>
  <si>
    <t>Registrar nuevos programas académicos</t>
  </si>
  <si>
    <t>Gestionar convenio para ofrecer programa de pregrado y/o postgrado</t>
  </si>
  <si>
    <t>Gestionar convenios académicos para traer programas pregrado y/o postgrado</t>
  </si>
  <si>
    <t xml:space="preserve">Asistir a las sesiones programadas de capacitación
</t>
  </si>
  <si>
    <t>Fortalecer las competencias académicas, pedadógicas y tecnológicas de los docentes y funcionarios de la institución</t>
  </si>
  <si>
    <t>Implementar las actividades del Plan de Acceso permanencia y graduación</t>
  </si>
  <si>
    <t>Desarrollar actividades de acceso, permanencia y graduación</t>
  </si>
  <si>
    <t>Desarrollar  las actividades de Bienestar</t>
  </si>
  <si>
    <t xml:space="preserve">Desarrollo de actividades del Plan de bienestar </t>
  </si>
  <si>
    <t>Mantener las condiciones de Seguridad y Salud en el Trabajo</t>
  </si>
  <si>
    <t>Mantenimiento del gimnasio institucional</t>
  </si>
  <si>
    <t>Adquirir  la dotación identificada para las actividades de Bienestar</t>
  </si>
  <si>
    <t>Dotación para la ejecución de las actividades contempladas en el Plan de Bienestar e Inclusión</t>
  </si>
  <si>
    <t>Ejecutar el Plan Institucional de Capacitaciones</t>
  </si>
  <si>
    <t>Capacitación a la comunidad Educativa del INFOTEP</t>
  </si>
  <si>
    <t>Participar en  las actividades de intercambio entre instituciones</t>
  </si>
  <si>
    <t>Participar en actividades de intercambio en instituciones educativas</t>
  </si>
  <si>
    <t>Ofertar intercambios culturales internacionales</t>
  </si>
  <si>
    <t>Crear y ofertar intercambios culturales</t>
  </si>
  <si>
    <t>Crear alianza estratégica</t>
  </si>
  <si>
    <t xml:space="preserve">Participar en alianzas y redes estratégicas </t>
  </si>
  <si>
    <t>Consolidar  convenios académicos</t>
  </si>
  <si>
    <t>Consolidar convenios académicos</t>
  </si>
  <si>
    <t>Promocionar eventos el programa de inmersión  (inglés y español)</t>
  </si>
  <si>
    <t>Promocionar la institución (regional, nacional e internacionalización)</t>
  </si>
  <si>
    <t>Participar en actividades en lenguas a nivel  local y nacional</t>
  </si>
  <si>
    <t>Participar en actividades académicas en lenguas</t>
  </si>
  <si>
    <t>Desarrollar  las acciones del plan de formación en lenguas y cultura</t>
  </si>
  <si>
    <t>Apoyo a la coordinación del proyecto</t>
  </si>
  <si>
    <t xml:space="preserve">Actualizar e Implementar el modelo de articulación </t>
  </si>
  <si>
    <t>Coordinación y Apoyo para la ejecución del proyecto</t>
  </si>
  <si>
    <t>Adquirir la dotación identificada del proyecto de articulación</t>
  </si>
  <si>
    <t>Adquisición anual de uniformes para estudiantes</t>
  </si>
  <si>
    <t>Adquirir  dotación identificada para el laboratorio de cocina
Realizar mantenimiento al laboratorio de cocina</t>
  </si>
  <si>
    <t>Adquisición anual de equipos de uso directo del proyecto</t>
  </si>
  <si>
    <t>Realizar mantenimiento al laboratorio de cocina</t>
  </si>
  <si>
    <t>Mantenimiento anual de equipos de uso directo del proyecto</t>
  </si>
  <si>
    <t>Realizar  actividades académicas extracurriculares y extramuros</t>
  </si>
  <si>
    <t>Actividades académicas extracurriculares y extramuro</t>
  </si>
  <si>
    <t>Mantener dotado el laboratorio de cocina con los insumos necesarios para la ejecución de actividades</t>
  </si>
  <si>
    <t>Insumos para las clases de cocina</t>
  </si>
  <si>
    <t>Establecer alianzas con los instituciones de Educación Media</t>
  </si>
  <si>
    <t>Gestionar nuevas alianzas con las instituciones de educación media (IEM)</t>
  </si>
  <si>
    <t>Realizar procesos de induccón y reinducción</t>
  </si>
  <si>
    <t>Realizar procesos de inducción, reinducción a rectores, padres de familia, docentes, estudiantes de las IEM</t>
  </si>
  <si>
    <t>Establecer planes de negocio</t>
  </si>
  <si>
    <t>Plan de raices de Infotep</t>
  </si>
  <si>
    <t>Cumplir con las actividades del proyecto de vida y de orientación vocacional</t>
  </si>
  <si>
    <t>Programa de orientación vocacional</t>
  </si>
  <si>
    <t>Entegar bonos de transporte público a los estudiantes articulados</t>
  </si>
  <si>
    <t>Auxilio de transporte</t>
  </si>
  <si>
    <t>Realizar planes de mejoramiento académico a los estudiantes articuladores</t>
  </si>
  <si>
    <t>Planes semestrales de mejoramiento académico</t>
  </si>
  <si>
    <t>Realizar ferias anuales de resultados</t>
  </si>
  <si>
    <t>Actividades de emprendimiento deportivas, lúdicas y recreativas</t>
  </si>
  <si>
    <t>ITFIP</t>
  </si>
  <si>
    <t>Proceso de autoevaluación desarrollado</t>
  </si>
  <si>
    <t xml:space="preserve">Desarrollo del proceso de autoevaluacion con fines de acreditación del Programa administración de empresas por ciclos propedeuticos. </t>
  </si>
  <si>
    <t>INTENALCO</t>
  </si>
  <si>
    <t>N° total de estudiantes nuevos matriculados en las los dos periodos académicos de la vigencia</t>
  </si>
  <si>
    <t xml:space="preserve">Ejecutar actividades y estrategias de mercadeo para matricular estudiantes nuevos  en programas técnicos profesionales </t>
  </si>
  <si>
    <t xml:space="preserve">N° total de estudiantes matriculados (nuevos + antiguos) en las los dos periodos académicos de la vigencia, en programas técnicos profesionales </t>
  </si>
  <si>
    <t xml:space="preserve">Ejecutar actividades y estrategias de mercadeo y permanencia para matricular y mantener estudiantes (nuevos + antiguos) en programas técnicos profesionales </t>
  </si>
  <si>
    <t>N° de programas nuevos, radicados en la plataforma SACES por ciclos propedéuticos (5 técnicos y 5 hasta nivel tecnológico)</t>
  </si>
  <si>
    <t xml:space="preserve">Documentar las condiciones de calidad de los programas académicos a radicar
</t>
  </si>
  <si>
    <t>Radicar en la plataforma del SACES los 10 programas académicos por ciclos propedéuticos</t>
  </si>
  <si>
    <t>Recibir visita de pares académicos para verificar condiciones de los programas registrados</t>
  </si>
  <si>
    <t>Implementación del modelo de autoevaluación institucional
(N° de factores evaluados / N° total de factores del modelo de autoevaluación institucional) x 100</t>
  </si>
  <si>
    <t>Recopilar, analizar y evaluar objetivamente en los grupos de trabajo la base documental del modelo de autoevaluación</t>
  </si>
  <si>
    <t>Aplicar encuetas al 100% de los estamentos de la comunidad educativa</t>
  </si>
  <si>
    <t>tabular y analizar la información recolectada</t>
  </si>
  <si>
    <t>Realizar informe y socializar a la comunidad</t>
  </si>
  <si>
    <t>N° total de estudiantes matriculados en las los dos periodos académicos de la vigencia, en programas de educación para el trabajo y el desarrollo humano</t>
  </si>
  <si>
    <t>Ejecutar actividades y estrategias de mercadeo para matricular y mantener estudiantes en  de educación para el trabajo y el desarrollo humano</t>
  </si>
  <si>
    <t>% de ejecución del plan de inversiones de dotación de la nueva sede construida</t>
  </si>
  <si>
    <t>Ejecutar del plan de inversión para la vigencia</t>
  </si>
  <si>
    <t>Porcentaje de proyectos formulados con la nueva metodología
N° de proyectos formulados con la nueva metodología / N° de proyectos en banco de proyectos de intenalco) x 100</t>
  </si>
  <si>
    <t>Formular nuevos proyectos de inversión con la nueva metodología para solicitar recursos para la vigencia  2019</t>
  </si>
  <si>
    <t>Porcentaje de ejecución del plan de acción de investigación para la vigencia
(N° de actividades ejecutadas / N° total actividades programadas) x 100</t>
  </si>
  <si>
    <t>Formular plan de acción para la vigencia</t>
  </si>
  <si>
    <t>Ejecutar actividades programadas</t>
  </si>
  <si>
    <t>Porcentaje de ejecución del plan de acción de Internacionalizació para la vigencia
(N° de actividades ejecutadas / N° total actividades programadas) x 100</t>
  </si>
  <si>
    <t>Ejecución Actividades</t>
  </si>
  <si>
    <t>SEGUIMIENTO PLAN DE ACCIÓN SECTORIAL 2018</t>
  </si>
  <si>
    <t>Avance Cualitativo</t>
  </si>
  <si>
    <t>% Avance Cuantitativo</t>
  </si>
  <si>
    <t>SEGUIMIENTO PLAN DE ACCIÓN SECTORIAL  2018</t>
  </si>
  <si>
    <t xml:space="preserve">Porcentaje de cumplimiento en el otorgamiento de crédito </t>
  </si>
  <si>
    <t xml:space="preserve">$18.000 Millones </t>
  </si>
  <si>
    <t xml:space="preserve">Otorgar el Servicio de Crédito a la medida de las necesidades de las IES afiliadas </t>
  </si>
  <si>
    <t xml:space="preserve">Nuevos productos estructurados </t>
  </si>
  <si>
    <t xml:space="preserve">Estructurar nuevos productos y/o servicios no financieros en el Fondo a partir de las necesidades de las IES </t>
  </si>
  <si>
    <t>31/04/2018</t>
  </si>
  <si>
    <t xml:space="preserve">Nuevos productos implementados </t>
  </si>
  <si>
    <t xml:space="preserve">Implementar nuevos productos y/o servicios no financieros en el Fondo a partir de las necesidades de las IES </t>
  </si>
  <si>
    <t xml:space="preserve">Porcentaje de IES afiliadas utilizando los servicios </t>
  </si>
  <si>
    <t xml:space="preserve">Promover el uso de los servicios no financieros o complementarios entre las IES afiliadas al Fondo. </t>
  </si>
  <si>
    <t xml:space="preserve">Porcentaje de IES afiliadas utilizando las alianzas estratégicas  </t>
  </si>
  <si>
    <t>Evaluar el impacto de las Alianzas Estratégicas en beneficios de las IES y del FODESEP</t>
  </si>
  <si>
    <t>Porcentaje de cumplimiento en la afiliación de IES</t>
  </si>
  <si>
    <t>Incrementar el número de IES afiliadas</t>
  </si>
  <si>
    <t xml:space="preserve">Porcentaje de cumplimiento en la asistencia a eventos </t>
  </si>
  <si>
    <t xml:space="preserve">Fortalecer las relaciones interinstitucionales mediante la participación en los eventos que programen los entes gubernamentales, las agremiaciones y las Instituciones de Educación Superior. </t>
  </si>
  <si>
    <t xml:space="preserve">Asamblea General Ordinaria realizada </t>
  </si>
  <si>
    <t xml:space="preserve">Realización de  la XXIII  Asamblea General Ordinaria del FODESEP </t>
  </si>
  <si>
    <t xml:space="preserve">Porcentaje de cumplimiento de asistencia de IES hábiles </t>
  </si>
  <si>
    <t>Incentivar la participación de las IES afiliadas en la Asamblea General Ordinaria del FODESEP</t>
  </si>
  <si>
    <t xml:space="preserve">Porcentaje encuestas realizadas </t>
  </si>
  <si>
    <t>Evaluación de la percepción de los asistentes a la XXIII Asamblea General Ordinaria del FODESEP</t>
  </si>
  <si>
    <t xml:space="preserve">Porcentaje de cumplimiento </t>
  </si>
  <si>
    <t>Ejecutar el Plan de mejoramiento 2017 para la  percepción de los asistentes a la XXIII Asamblea General Ordinaria del FODESEP</t>
  </si>
  <si>
    <t xml:space="preserve">Plan de mejoramiento estructurado </t>
  </si>
  <si>
    <t>Estructurar un plan de mejoramiento, con base en los resultados de la evaluación de la percepción de los asistentes a la XXIII Asamblea General Ordinaria del FODESEP</t>
  </si>
  <si>
    <t>30/062018</t>
  </si>
  <si>
    <t>Porcentaje de cumplimiento en la asistencia</t>
  </si>
  <si>
    <t>Verificar  la asistencia de las IES integrantes de los cuerpos colegiados a las sesiones a las que sean convocados</t>
  </si>
  <si>
    <t>Verificar  la asistencia de las IES integrantes de los Comités a las sesiones a las que sean convocados</t>
  </si>
  <si>
    <t>Hacer presencia y participar en eventos o instancias propicios para la defensa de los intereses del FODESEP</t>
  </si>
  <si>
    <t xml:space="preserve">Estrategias diseñadas </t>
  </si>
  <si>
    <t>Diseñar las Estrategias del fortalecimiento comercial para establecer mecanismos de promoción y mercadeo.</t>
  </si>
  <si>
    <t xml:space="preserve">Estrategias ejecutadas </t>
  </si>
  <si>
    <t>Ejecutar las Estrategias del fortalecimiento comercial para establecer mecanismos de promoción y mercadeo.</t>
  </si>
  <si>
    <t>Plan de acción del Plan de Mercadeo</t>
  </si>
  <si>
    <t>Elaborar el Plan de Acción del Plan de Mercadeo para la vigencia 2018</t>
  </si>
  <si>
    <t xml:space="preserve">Porcentaje de cumplimiento del Plan de Acción </t>
  </si>
  <si>
    <t>Ejecutar el Plan de Acción del Plan de Mercadeo para la vigencia 2018</t>
  </si>
  <si>
    <t>INFOTEP SAN ANDRES</t>
  </si>
  <si>
    <t>ITFIT</t>
  </si>
  <si>
    <t>PROMEDIO</t>
  </si>
  <si>
    <t xml:space="preserve">Cumplimiento del indicador % (Acumulado)           </t>
  </si>
  <si>
    <t>1. Se conformó el equipo de facilitadores de 69 SE. 2. Se cuenta con 64 SE confirmadas de 95 para participar en la ruta de acompañamiento 2018. 3. Se realizó el diseño base del ciclo IV para realizar los protocolos de acompañamiento de secretarías de educación focalizadas y generales.</t>
  </si>
  <si>
    <t>En febrero 243 FNE hacen parte de la estrategia del programa. Por otra parte, la CUN, con quien el MEN suscribió el convenio 1467 de 2017, ha reportado inconvenientes con el proceso de reclutamiento debido a alertas migratorias y alertas de seguridad en algunas regiones de Colombia</t>
  </si>
  <si>
    <t>A marzo se presenta un avance de 199 aulas</t>
  </si>
  <si>
    <t>A marzo se presenta un avance de 259 aulas</t>
  </si>
  <si>
    <t>Corresponde a la formación centralizada a 97 formadores del  programa para Ciclo 1 y a  la de formación descentralizada a tutores de zona 5 en Neiva, Moniquirá y Barrancabermeja. Masivamente, el resto de tutores del país se formará las semanas del 05 al 09 y 12 a 16 de marzo de 2018. </t>
  </si>
  <si>
    <t>Se hará el primer reporte una vez se tenga el consolidado raciones contratadas del primer semestre de 2018</t>
  </si>
  <si>
    <t>Con la Administración Temporal de La Guajira se han articulada acciones y elaborados informes de ejecución de los diferentes proyectos. Se han identificado necesidades de apoyo y alertas importantes relacionadas con la situación de la Guajira y sus 4 ETC (La Guajira, Riohacha, Uribia y Maicao) en todo lo necesario para el inicio de la prestación del servicio educativo: transporte escolar, alimentación escolar y concertación con comunidades indígenas. Se apoyó a la AT en materia de gestión.
Se elaboró propuesta de respuesta respecto a la posición que asumirá el MEN en lo concerniente a las solicitudes de los delegados Wayuú en el marco del CONPES de La Guajira. Se representó al MEN en la mesa técnica del CONPES con comisionados Wayuú. Se expusieron las propuestas del MEN y se actualizó la matriz con la información del MEN ante DNP.
Para el Choco de dio asistencia técnica centrada en proporcionar apoyo al proceso de concertación para la contratación de la educación para las comunidades indígenas en el departamento; a su vez, se realizó revisión del avance en el proceso de alistamiento de la SE para el inicio del calendario escolar en los establecimientos educativos del departamento. Se acompañó en el proceso de concertación y contratación del servicio educativo indígena, logrando que la SE llegará a acuerdos con los operadores indígenas y se firmarán los correspondientes contratos de prestación del servicio educativo en el departamento.
Se realizó el primer encuentro de secretarios de educación los días 15 y 16 de marzo.
Se presto asistencia técnica en: 
SE Dosquebradas, Sahagún y Buenaventura en cuanto a los temas de recursos, planeación y planta.
SE Duitama, Arauca Santa Marta, Facatativá y Chocó en el tema de inspección y vigilancia y estructura organizacional; 
SE a la Gobernación del Chocó, en el proceso de transición administrativa, componentes: cobertura, financiera y calidad.
SE de la Guajira , en cuanto a la organización del sistema de archiv</t>
  </si>
  <si>
    <t>"1- Taller ""Caminos hacia la lectura y la escritura" a las SE Santa María de La Antigua y San Francisco de Asís del municipio de Apartadó, Antioquia. 75 participantes2- Encuentro de formación de PBE con tutores de la Fundación Global Humanitaria"</t>
  </si>
  <si>
    <t>El 01 de febrero se sostuvo reunión con los miembros sindicales Usdidoc, Sindodic, Sintrenal Utradec -CGT, en el marco de la mesa de trabajo para la formulación de los lineamientos de política de bienestar laboral.
Coordinación del desarrollo de la fase zonal de los juegos del magisterio colombiano en la ciudad de Pasto.
El día 09 de marzo de 2018, se llevó a cabo reunión con la mesa en donde se definió el instrumento de encuesta que se aplicará a docentes, directivos docentes y administrativos de las instituciones educativas oficiales con el fin de establecer las necesidades de bienestar laboral. Adicionalmente en esa sesión también se definió la estructura del documento de política.
Del 01 al 04 de marzo se llevó a cabo la fase zonal en la ciudad de Pasto contando con la participación de 380 directivos docentes, docentes y administrativos deportistas de las entidades territoriales de Cauca, Choco, Nariño y Valle.</t>
  </si>
  <si>
    <t>Durante este mes, se contempló el 100% de entrega de libros de trabajo en inglés de la serie Way to GO! a grados 6, 7 y 8. Es decir se entregaron 201.626 libros a 370 establecimientos educativos focalizados por el programa Colombia Bilingüe.</t>
  </si>
  <si>
    <t>Se remitieron a Innovación las preguntas para el cargue en la plataforma para la primera aplicación de Supérate con el Saber. Por lo cual se inicio el proceso de diagramación y maquetación para el ambiente virtual</t>
  </si>
  <si>
    <t>1 - Taller de activación dirigido a estudiantes de las sedes educativas Santa María de La Antigua y San Francisco de Asís del municipio de Apartadó, Antioquia.</t>
  </si>
  <si>
    <t>'Durante el mes de febrero el equipo organizador del FEN 2018 adelanto actividades de alistamiento relacionadas con el evento</t>
  </si>
  <si>
    <t>Correponde al acompañamiento a docentes y DD para el ciclo de apertura de la ruta de formación y acompañamiento. El énfasis en docentes de transición, 3 y 5 y  acompañamiento al docente para familiarizarlo con los instrumentos de caracterización del nivel de fluidez</t>
  </si>
  <si>
    <t>En realización de gestiones, revisión, estructuración y diseño para la el inicio de la oferta de cursos.</t>
  </si>
  <si>
    <t>Se trabajó en el desarrollo de los contenidos para los materiales Dia E - Dia E Familia, se definió la versión definitiva del diseño de la caja de materiales Día E - Día E Familia así como el diseño el taller Día E, se avanza en la contratación de impresión y distribución de materiales.
Se aprobó versión final de la diagramación del taller Día E Familia; se adjudicó la firma Legislación económica para impresión y la firma Portes de Colombia para Distribución, el ISCE está en construcción.</t>
  </si>
  <si>
    <t>En el mes de marzo se realizaron 82 asistencias técnicas (AT) de manera presencial; las cuales se encuentran distribuidas en los siguientes componentes: Financiero: 26 Jurídico: 5 Sistemas de Información 2 Técnico Alimentario: 2 Proyectos Estratégicos: 8 Monitoreo y control: 39</t>
  </si>
  <si>
    <t>Se realizó el seguimiento a la implementación del servicio de Preescolar integral en 27 municipios de 11 entidades territoriales certificadas en Educación. Adicionalmente se hizo seguimiento a la matricula reportada en SIMAT de las aulas de preescolar</t>
  </si>
  <si>
    <t>Se viene adelantando un proceso licitatorio para contratar firma o firmas para apoyar el fortalecimiento de la permanencia de los estudiantes en el sistema educativo a través de la implentación de MEF. La regionalización se reportará tan pronto se este ejecutando el contrato para la vigencia 2018.</t>
  </si>
  <si>
    <t>Se viene adelantando el proceso de licitación que tiene como fin la atención a adultos a través del PNA. La regionalización se realizará tan pronto se comience a reportar la matricula, a través del contrato y convenio para la vigencia 2018. Se anexa avance cualitativo.</t>
  </si>
  <si>
    <t>se realizó el diseño y publicación del Boletín PAEstaraldía del mes, la socialización de la nueva disposición de la imagen institucional, la recopilación y revisión semanal de Logros, Hitos y Alertas del Programa, la solicitud y oganización de eventos de socialización del PAE, la revisión de videos de Bolsa Común y conformación del Comité de Alimentación Escolar. Además, se participó en la elaboración del documento de  reforma estructural propuesto por el Ministerio de Educación al Gobierno Nacional para una mejor ejecución  del  PAE  y  se  realizó  la  difusión  de  actividades  tales  como  socialización  de  las videoconferencias y eventos relacionados con la promoción del programa. 
Además, se elaboró el plan de eventos del mes de febrero y marzo para la capacitación de rectores  en  todo  el  país  y  se  diseñó  una  encuesta  de  necesidades  de  capacitación  y asistencia técnica dirigida a todas las Entidades Territoriales Certificadas en educación para una adecuada organización de un plan de capacitación de las mismas.</t>
  </si>
  <si>
    <t>A marzo se presenta un avance de 78 proyectos</t>
  </si>
  <si>
    <t>En acompañamiento pedagógico situado se suscribió un Convenio con la Fundación Carvajal para el acompañamiento pedagógico situado de 627 maestras en 10 entidades territoriales. Las 2 entidades restantes se focalizarán con las maestras que participan del MAS en el marco del programa de preescolar.
En Convenio Corpoeducación se desarrolla primera fase: alistamiento, definición plan de acción para la consolidación de la Estrategia de Excelencia Docente. Categorías para revisión documental y Mesa técnica para orientar sobre las acciones desarrolar.
En Convenio con CORPOEDUCACIÓN se desarrollan mesas técnicas y revisión de avances de la metodología para la consolidación del documento de la estrategia de excelencia docente que contempla revisión documental, avance del documento en articulación</t>
  </si>
  <si>
    <t>En el mes de febrero, se adelantaron 2 asistencia técnicas. En el mes de marzo, se adelantaron 4 asistencia técnicas.</t>
  </si>
  <si>
    <t>Desde Permanencia se viene adelantando el proceso de licitación con el IN-2018-0617.</t>
  </si>
  <si>
    <t>Desde la Subdirección de Permanencia se realizó durante el mes de febrero del 2018 asistencia técnica a las siguientes 26 secretarías de educación. Se anexa avance cualitativo del indicador.</t>
  </si>
  <si>
    <t>Se realizó la inducción al equipo para las fases 3 y 4 y se elaboraron los planes de acompañamiento a las 50 secretarías de educación.Se realizó la inducción al equipo de trabajo del convenio 849 de 2018 y se realizaron las aperturas en las SE de Cúcuta, Norte de Santander, Cauca, Popayán, Cesar y Valledupar. Se realizaron las de reuniones de apertura fases 3 y 4 en las 50 SESe realizaron las aperturas en las 20 SE focalizadas en el convenio 849/2018, se firmaron los planes de trabajo con cronograma para la articulación e implementación del MGEI. Se avanzó en el desarrollo de la fase de implementación con las 50 SE focal</t>
  </si>
  <si>
    <t>Al mes de marzo no se ha adjudicado la beca.</t>
  </si>
  <si>
    <t>Al mes de marzo se han adjudicado 26 nuevos créditos para población indígena, sin embargo el fondo tiene al 31 de marzo 1.013 beneficiarios legalizados que se encuentran en proceso de giro.</t>
  </si>
  <si>
    <t>Al mes de marzo se han efectuado 400 adjudicaciones,
Se desembolsaron 57 créditos para sostenimiento y se renovaron 2.150 créditos para población víctima.</t>
  </si>
  <si>
    <t>Al mes de marzo se desembolsaron 2.337 créditos con subsidio de tasa.</t>
  </si>
  <si>
    <t>Al mes de marzo no se han efectuado adjudicaciones para población en condición de discapacidad, teniendo en cuenta que ICETEX se encuentra a la espera de la definicion de metas por parte del Ministerio de Educacion Nacional.</t>
  </si>
  <si>
    <t>Al mes de marzo no se han adjudicado nuevos créditos para población afrodescendiente, sin embargo, el fondo inició su proceso de legalización para el periodo 2018-1 con el cual se ha logrado para el cierre de marzo un total de 298 beneficiarios legalizados.</t>
  </si>
  <si>
    <t>Al mes de marzo no se han adjudicado nuevos créditos para población RROM, sin embargo, se encuentran 5 beneficiarios legalizados, para posteriormente iniciar con el proceso de giro.
Al mes de marzo se han efectuado 20 renovaciones para ésta población.</t>
  </si>
  <si>
    <t>Al mes de marzo se efectuaron 5.525 renovaciones para población afrodescendiente.</t>
  </si>
  <si>
    <t xml:space="preserve">Al mes de marzo no se han adjudicado nuevos créditos para maestros. ICETEX se encuentra a la espera de que el Ministerio de Educacion Nacional defina el numero de adjudicados para el 2018. </t>
  </si>
  <si>
    <t>Al mes de marzo no se han efectuado condonaciones a mejores Saber Pro. Estas condonaciones se efectuaran en el transcurso del año.</t>
  </si>
  <si>
    <t>Al mes de marzo se renovaron 3.092 créditos para médicos.</t>
  </si>
  <si>
    <t>Al mes de marzo se renovaron 65.866 créditos con subsidio de tasa.</t>
  </si>
  <si>
    <t>Al mes de marzo se renovaron 677 créditos para maestros.</t>
  </si>
  <si>
    <t>No presenta reporte de avance en el Sistema de Seguimiento a Proyectos de Inversión SPI</t>
  </si>
  <si>
    <t xml:space="preserve">Al mes de marzo no se han otorgado nuevas becas para maestría y doctorado y se efectuaron 28 renovaciones. </t>
  </si>
  <si>
    <t xml:space="preserve">Se situaron a través del PAC $252.234.578.340 para disminución de la tasa de interes. </t>
  </si>
  <si>
    <t>Al mes de marzo se efectuaron 3.168 renovaciones para población indígena.</t>
  </si>
  <si>
    <t>Durante el mes de enero no se realizó acompañamientos a las IES debido al periodo de vacaciones, se diseño el plan de eventos con el cual se llevara a cabo este acompañamiento en 2018.En el mes de febrero se realizo a 10 IES acreditadas la socialización del Modelo de evaluación por Referentes de calidad.El 1 de marzo se realizo socializacion del modelo de eveluacion por referentes con los directores de las asociaciones de facultades de IES y el 13 de marzo con la Dirección de formación del SENA.</t>
  </si>
  <si>
    <t>En el mes de enero se recibieron 43 solicitudes. 3 pasaron a selección de pares y 39 están en revisión de completitud.Hasta el mes de febrero se han recibido 61 solicitudes. 52 pasaron a selección de pares y 9 están en revisión de completitud.En el mes de marzo se recibieron 37 solicitudes para un acumulado de 98 durante los meses de enero a marzo. Todos estos procesos ya pasaron revisión de completitud y pasaron a selección de pares.</t>
  </si>
  <si>
    <t>Al mes de marzo se han renovado 44.919  subsidios de sostenimiento.Estos subsidios serán efectuados en el transcurso del año.</t>
  </si>
  <si>
    <t>Al mes de marzo se han adjudicado 158 subsidios de sostenimiento. Estos subsidios serán efectuados en el transcurso del año.</t>
  </si>
  <si>
    <t xml:space="preserve">*Al mes de marzo se han efectuado 5.770 giros de adjudicación de nuevos pilos.
*Se han efectuado 5.759 giros de nuevos subsidios para Ser Pilo Paga.
* Se han efectuado 21.774 giros de renovación de Ser Pilo Paga.
* Han renovado 27.970 beneficiarios el Subsidio de Sostenimiento del programa Ser Pilo Paga.
</t>
  </si>
  <si>
    <t>Al mes de marzo se han renovado 44.919  subsidios de sostenimiento. Estos subsidios serán efectuados en el transcurso del año.</t>
  </si>
  <si>
    <t>Al mes de marzo no se han efectuado adjudicaciones para población en condición de discapacidad, teniendo en cuenta que ICETEX se encuentra a la espera de la definición de metas por parte del Ministerio de Educación Nacional.</t>
  </si>
  <si>
    <t>Al mes de marzo se han efectuado 801 condonaciones del 25%.</t>
  </si>
  <si>
    <t>Al mes de marzo no se han desembolsado nuevos créditos a los mejores bachilleres, sin embargo se tienen 46 nuevos beneficiarios legalizados.
No se ha suscrito el convenio respectivo para adjudicar la Beca  "Omaira Sánchez" e ICETEX se encuentra a la espera de las directrices por parte del Ministerio de Educación Nacional.
Se efectuó 2 renovaciones de la Beca "Jóvenes ciudadanos de Paz"</t>
  </si>
  <si>
    <t>Al mes de marzo se renovaron 291 subsidios a los mejores bachilleres.</t>
  </si>
  <si>
    <t xml:space="preserve">Al mes de marzo no se han adjudicado nuevos créditos para maestros. ICETEX se encuentra a la espera de que el Ministerio de Educación Nacional defina el numero de adjudicados para el 2018. </t>
  </si>
  <si>
    <t xml:space="preserve">Se situaron a través del PAC $252.234.578.340 para disminución de la tasa de interés. </t>
  </si>
  <si>
    <t>Con base en lo programado en el anteproyecto de presupuesto para 2018, se obtuvieron los costos de las etapas de la cadena de valor para cada una de las áreas misionales del Instituto</t>
  </si>
  <si>
    <t xml:space="preserve">Desde la Dirección de Evaluación, se adelantó la contratación de Mr. Mark Reckase, doctor en psiciología de la Unversidad de Syracuse y profesor en teoría psicométrica de la Universidad de Michigan. El asesor internacional se ha especializado en el desarrollo de pruebas educativas y psicológicas relacionadas con la teoría psicométrica y ha realizado investigaciones sobre pruebas adaptativas computarizadas y teoría de respuestas multidimensionales de ítems, por lo cual, desde la Dirección de Evaluación se consideró el perfil adecuado para brindar asesoría técnica para dar cumplimiento a las actividades planteadas en el marco del proyecto de pruebas adaptativas.
Así las cosas, el equipo conformado por personal de la subdirección de estadísticas, diseño de instrumentos y la subdirección de desarrollo de aplicaciones y liderado por la Dirección de Evaluación, ha adelantado documentos y presentaciones de contextualización misional al asesor técnico  para los insumos necesarios en la consolidación del proyecto. 
Por parte del Icfes se le ha enviado al señor Reckase una caracterización de banco de items de la prueba como insumo para el desarrollo de las simulaciones. "Information about item pool from Colombia". De igual forma, se le suministró un informe de arquitectura tecnológica.
Por otro lado, el consultor ha suministrado dos textos con información preliminar de la Prueba de Matemáticas y de Ciencias Naturales, en los cuales evidencia que ha trabajado según los compromisos contractuales. En los dos textos manifiesta la misma metodología: simulaciones para longitudes de la prueba de 15 y 20 items;análisis de la respectiva prueba para el "ideal item pool" teniendo como referencia la cantidad de items seleccionados, y por último muestra la evaluación de la calidad del funcionamiento de las pruebas CATs realizadas previamente. Cabe aclarar que adicional a éstos documentos, ha enviado otros textos  relacionados con aspectos técnicos de la metodología en pruebas adaptativas que ha trabajado en su trayectoria profesional, para una mayor comprensión del funcionamiento del mismo.
Paralelamente al desarrollo del  trabajo del  asesor,  la Dirección de Evaluación en conjunto con la Subdirección de Estadística, se está realizando un artículo en el cual se muestra los principales hallazgos del proyecto, y la aplicación del mismo  en la prueba Pre-Saber  (piloto) que se aplicará a mediados del año, lo cual dará insumos para observar el comportamiento de éste tipo de test,  observar mejoras y, evaluar la posible extensión de ésta metodología a otras pruebas que actualmente son  paper-pencil based. 
</t>
  </si>
  <si>
    <t xml:space="preserve">Se realizó la calificación de las pruebas Saber 3,5,9 -2017 y  Saber Pro y TyT 2017-3, aplicando la metodología de calificación de 3PL, como se estableció a partir del año 2016. 
Se ha avanzado en los análisis del proceso de calibración, en los siguientes aspectos: 
*Análisis de comportamiento diferencial
*Metodología para aumento de datos
*Adaptación del análisis de copia. 
*Piloto de escala vertical Saber 3°. 5° y 9° 2017. 
*Análisis factoriales bajo teoría de respuesta al ítem.
</t>
  </si>
  <si>
    <t xml:space="preserve">• Reportes históricos de Saber PRO y Saber TyT para institución, sede y programa (6 reportes): los reportes fueron creados y entregados a tecnología y ya están disponibles en la consulta de resultados.
• Publicación de reportes de resultados Saber 3,5 y 9 por estudiante: la publicación de resultados niño a niño fue el 24 de febrero con su guía de interpretación de resultados. Evidencia en la consulta de resultados a través de PRISMA.
• Diseño e implementación de divulgación sobre ICCS y su relación con Acciones y Actitudes Ciudadanas: se está implementando durante todo el año, de marzo a agosto, en el marco de las divulgaciones de Saber 11.
• Guía de interpretación y uso de resultados para establecimientos educativos y ETC, con énfasis en plan de mejoramiento.: Realizamos guía de interpretación de uso de resultados Saber 11 para Establecimientos Educativos y guía de interpretación de uso de resultados Saber 11 para Entidades Territoriales.
Realizamos la guía de interpretación para el reporte niño a niño en Saber 359.
Fue entregada al Ministerio de Educación Nacional la guía para la interpretación de resultados de Saber 359 dirigida a establecimientos educativos.
• Guía de interpretación de resultados para el reporte individual. Saber 359: realizada y publicada en la consulta de resultados en la plataforma PRISMA.
• Evaluación formativa con Saber 3,5 y 9; en los grados 4, 6 y 8.: realizamos diferentes actividades como: Focus Group (convocatoria, presentación, cuestionario y encuesta), revisión histórica de los usuarios, desarrollo de Avancemos (logo y armados por área). Planteamos el alcance del proyecto, el objetivo, definimos qué es, a quién va dirigido, los requerimientos técnicos, el armado, el desarrollo de la plataforma de inscripción y de consulta de resultados. Hicimos el lanzamiento nacional de la estrategia el 15 de marzo en el encuentro de líderes de evaluación.
• Encuentro de Líderes: Se realizó el encuentro, los días 15 y 16 de marzo del presente año con una agenda de 2:00 pm a 6: pm y 8:00 am a 12 m respectivamente, en el evento se realizó lanzamiento de la iniciativa SUMMA, presentación de la estrategia de Evaluación Formativa, un Taller enfocado en la construcción de Planes de Mejoramiento Institucional, y una introducción del curso de Interpretación y Uso de Resultados del Examen Saber 11 en Moodle.
• Implementación del curso virtual de interpretación de resultados para Saber 11: el curso fue recibido a satisfacción, fue piloteado y está listo para ser implementado durante el segundo trimestre del año. Las inscripciones a nivel nacional se abren el 15 de abril.
• Diseñar videos cortos de interpretación de resultados para estudiantes: se hizo para el reporte individual de 359.
</t>
  </si>
  <si>
    <t>Para el primer trimestre del año la Dirección de Tecnología e Información no ha llevado a cabo el desarrollo de pruebas electrónicas, se está trabajando en la mejora de la plataforma de presentación de exámenes del Icfes y en la preparación de las pruebas Avancemos 4°, 6°y 8° a realizarse en el segundo trimestre del año</t>
  </si>
  <si>
    <t>Durante el primer trimestre de la vigencia 2018 se ha adelantado la actualización del documento de caracterización y procedimiento de Nuevos Negocios (pendiente de aprobación), teniendo en cuenta las sugerencias de los miembros del equipo de nUevos Negocios y el jefe de la OAP.</t>
  </si>
  <si>
    <t>Proceso de publicación del paper "Hasta dónde fortaleces, una evaluación de impacto de la estrategia pioneros " en la revista de Lecturas de Economía.
En proceso de ejecución se encuentran 15 proyectos de investigación.</t>
  </si>
  <si>
    <r>
      <t>Se brindó asistencia técnica a</t>
    </r>
    <r>
      <rPr>
        <b/>
        <sz val="16"/>
        <rFont val="Calibri"/>
        <family val="2"/>
        <scheme val="minor"/>
      </rPr>
      <t xml:space="preserve"> 54</t>
    </r>
    <r>
      <rPr>
        <sz val="12"/>
        <rFont val="Calibri"/>
        <family val="2"/>
        <scheme val="minor"/>
      </rPr>
      <t xml:space="preserve"> entidades de la administración pública en implementación y/o mejoramiento de procesos para el goce efectivo de los derechos de las personas con discapacidad visual. Cabe resaltar que para considerar a una entidad asistida técnicamente tiene que cumplir con criterios de asesoría y/o cualificación, acompañamiento y dotación de material especializado</t>
    </r>
  </si>
  <si>
    <r>
      <t>Se produjeron</t>
    </r>
    <r>
      <rPr>
        <b/>
        <sz val="18"/>
        <rFont val="Calibri"/>
        <family val="2"/>
        <scheme val="minor"/>
      </rPr>
      <t xml:space="preserve"> 99.932 </t>
    </r>
    <r>
      <rPr>
        <sz val="12"/>
        <rFont val="Calibri"/>
        <family val="2"/>
        <scheme val="minor"/>
      </rPr>
      <t xml:space="preserve">libros y textos escolares en formatos accesibles de braille, relieve, macrotipo y digitales y otras ayudas técnicas para la población con discapacidad visual en el primer trimestre del año discriminados así: 
Enero: Se realizó la producción de 2 titulos para un total de 540 ejemplares
Febrero: Se realizó la producción de 90.000 tarjetones electorales, 8.000 calendarios tributarios para el Banco Sudameris, 100 folletos para cliente externo y 100 decalogo del periodista para Comunicaciones
Marzo: Se realizó la Impresión de 220 unidades de los  Decretos 2011 de 2017,  Decreto 392 de 2018 y Decreto 2177 de 2017en  Tinta Braille, reimpresión de 500 calendarios INCI y 32 avisos para clientes externos
De acuerdo con lo anterior, se evidencia que el cumplimiento dela meta se encuentra por encima de lo establecido, por lo cual es necesario hacer la gestión para la reformulación del proyecto en el SUIFP. </t>
    </r>
  </si>
  <si>
    <r>
      <t>Se produjeron 27</t>
    </r>
    <r>
      <rPr>
        <b/>
        <sz val="16"/>
        <rFont val="Calibri"/>
        <family val="2"/>
        <scheme val="minor"/>
      </rPr>
      <t xml:space="preserve">00 </t>
    </r>
    <r>
      <rPr>
        <sz val="12"/>
        <rFont val="Calibri"/>
        <family val="2"/>
        <scheme val="minor"/>
      </rPr>
      <t xml:space="preserve"> libros y textos escolares en formato digital accesible para las personas con discapacidad visual </t>
    </r>
  </si>
  <si>
    <r>
      <t>Se realizaron</t>
    </r>
    <r>
      <rPr>
        <b/>
        <sz val="16"/>
        <rFont val="Calibri"/>
        <family val="2"/>
        <scheme val="minor"/>
      </rPr>
      <t xml:space="preserve"> 865</t>
    </r>
    <r>
      <rPr>
        <sz val="12"/>
        <rFont val="Calibri"/>
        <family val="2"/>
        <scheme val="minor"/>
      </rPr>
      <t xml:space="preserve"> descargas de libros digitales accesibles de la biblioteca virtual para personas con discapacidad visual </t>
    </r>
  </si>
  <si>
    <t>Durante el primer trimiestre del año se definió el modelo de asesoría en torno al decreto 1421/2017 y la ruta de implementación para el trabajo con las secretarías de educación.
Se adelantaron acciones de asesoría en 8 entidades territoriales:
1. Bogotá (Convenio SDIS, convenio Caro y Cuervo, IE La Esperanza)
2. Cundinamarca (convenio con la SED)
3. Villavicencio
4. Bucaramanga
5. Ibagué
6. Cali
7. Barranquilla
8. Fusagasugá
Así mismo, se cualificaron 381 agentes educativos</t>
  </si>
  <si>
    <t>Conforme a lo presupuestado, se realizan acciones para la formulación del la estructura del documento Estrategia de Atención integral para el mejoramiento de la calidad educativa de la población sorda, el cual se desarrollara conforme al desarrollo de las acciones presupuestadas para tal fin.</t>
  </si>
  <si>
    <t>Se ha avanzado en el desarrollo de procesos de asesoría y asistencia técnica sobre criterios de inclusion a estudiantes sordos en educación superior a Fundacion Universitaria San Alfonso , Universidad Distrital, UNAD, Unidades tecnologícas de Santander .</t>
  </si>
  <si>
    <t xml:space="preserve">PRUEBAS SABER: Se avanzó en la formulacion y aprobacion del plan de tranajo que conduzca a la traduccion en LSC  de los items de la prueba Saber 11 / 2018 para población sorda , la estrategia de asesoria para estudiantes y colegios con dicha pobalción en grado 11 y la produccion de items liberados en LSC para la preparación de los estudiantes sordos antes de la prueba.
Con respecto a la producción de 120 contenidos accesibles, durante el primer trimestre del año se ha avanzado así: 4 Lecciones y 3 Clases en vivo. Total trimestre: 7 productos. 
La región Caribe - módulo de ciencias sociales: Dos lecciones y Organización celular - módulo de ciencias naturales: Dos lecciones
Clases en vivo:
23 de marzo:  Ciencias Naturales
                          https://www.youtube.com/watch?v=LFkYjvT45mg&amp;t=3s
16 de marzo:  Accidentes Geográficos
                         https://www.youtube.com/watch?v=oUZHRMJSetY&amp;t=908s
8 de marzo:  Democracia y elecciones
                       https://www.youtube.com/watch?v=cU79m7Fvvb8&amp;t=641s
</t>
  </si>
  <si>
    <t xml:space="preserve">En la actividad referida a la elaboración de un documento de orientaciones para la apertura y gestión de programas de formación de intérpretes en IES, se implementaron las sigientes acciones: (a)  Se realizó revisión de videos en LSC de acciones desarrolladas en el marco de la alianza con el SENA y de los cinco videos en LSC de la Norma Sectorial de Competencia laboral de intérpretes y guías intérpretes que se encuentran en la página web institucional. (b)  Se realizó reunión con profesionales del SENA con el fin de establecer acuerdos para dar continuidad al proceso para la elaboración de programa de formación de intérpretes y traductores de LSC-español. (c) Reunión con representantes de la Universidad Distrital Francisco José de Caldas. Se envían documento justificando la necesidad de la formación de intérpretes y traductores, y (d) Elaboración de la propuesta de la estructura del documento de orientaciones para la apertura y gestión de programas de formación de intérpretes en Instituciones de Educación Superior -IES y avances del mismo.      </t>
  </si>
  <si>
    <t xml:space="preserve">Se dio cumplimiento de las actividades programadas para el otorgamiento de credito  planeado para el primer trimestre,  lo pendiente esta sujeto a la aprobación del comité de credito previsto para el mes de abril . En el desarrollo de las actividades para el otorgamiento del crédito, se colocaron 1000 millones.  </t>
  </si>
  <si>
    <t>En la realización del  Foro Financiamiento de Educacion Superior, convenios para administración  recursos  y alianzas estrategicas, 59 IES afiliadas utilizaron estos servicios</t>
  </si>
  <si>
    <t>Se realizaron las actividades programadas para incrementar el numero de IES afiliadas al FODESEP, logrando la afiliacion de 2 nuevas IES</t>
  </si>
  <si>
    <t>Se fortalece las Relaciones Interinstitucionales con la participación en 11 eventos donde se logró un  posicionamiento de FODESEP</t>
  </si>
  <si>
    <t>Se efectuaron el total de  las actividades programadas para realización de la XXIII Asamblea General de FODESEP</t>
  </si>
  <si>
    <t xml:space="preserve">En la realización de la XXIII Asamblea General de FODESEP  se conto con un numero mayor de participantes de lo esperado </t>
  </si>
  <si>
    <t>Se aplico la encuesta de satisfacción a los participantes de la XXIII asamblea general Ordinaria las  fueron recolectadas un total de 77% encuestas del 100% de asistentes</t>
  </si>
  <si>
    <t>Se efectuaron el total de  las actividades  programadas  del plan de mejoramiento 2017 para el primer trimestre dando como resultado 100%</t>
  </si>
  <si>
    <t>Se realizaron las actividades proyectadas de verificacion de la participacion IES en las sesiones convocadas, dando como resultado un 17%</t>
  </si>
  <si>
    <t>Se realizaron las actividades proyectadas de verificación de la participacion IES en las sesiones convocadas, dando como resultado un 17%</t>
  </si>
  <si>
    <t>Se realizaron las actividades proyectadas  la participación  en eventos de defensade FODESEP, dando como resultado un 18%</t>
  </si>
  <si>
    <t xml:space="preserve">A la fecha se llevan un avance de 2 estrategias de fortalecimiento comeercial </t>
  </si>
  <si>
    <t xml:space="preserve">El área comercial se encontraba enfocada a la realización de la caracterización de las IES afilidadas al FODESEP y que se reprogramaron para el segundo trimestre del año </t>
  </si>
  <si>
    <t>Se está trabajando en los resultados de la caracterización de Bachillerato y padres de familia, para dar inicio con la segunda fase de caracterización</t>
  </si>
  <si>
    <t>Se realizo el cargue de los documentos maestros en la plataforma del CNA</t>
  </si>
  <si>
    <t xml:space="preserve">Este avance del 50% está representado  en la visita de los pares los dias 15, 16 y 17 de marzo  para validar los documentos maestro de los programas por ciclo propeuticos Técnica Profesional Operación de Sistemas de Manejo Ambiental, Tecnología en Gestión Ambiental, </t>
  </si>
  <si>
    <t>La institución cuenta con una estrategia marketing que fue actualizada para el 2018</t>
  </si>
  <si>
    <t>Este avance del 0%  está representado en para el primer semestre no se han aprovado ninguana solicitud de apoyo para formación de docentes para posgrados</t>
  </si>
  <si>
    <t>Este avance del 25% está representado:1)  En la preparación del informe de analisis y evaluación de las pruebas Saber Pro, lo cual fue socializado a los docentes en la semana de planeación academica; 2) Se formulo el plan de acción saber pro para vigencia 2018; 3) Se han realizado talleres  a docentes y estudiantes para mejorar sus competencias en la pruebas saber pro</t>
  </si>
  <si>
    <t>Este avance del 25% está representado en las capacitaciones que se hicieron a los docentes durante la semana de la planeación academica: una sobre saber pro y otra sobre el Modelo Pedagogico.</t>
  </si>
  <si>
    <t>Este avance del 50% está representado: 1) Se pasaron de 5 instituciones articuladas  en el 2017 a 7 en el 2018, que fueron dos colegios del municipio de vilanueva, el Roque de alba y los fundadores; 2) Se realizo un proceso de indución con las instituciones de San Juan del Cesar.</t>
  </si>
  <si>
    <t>Este avance del 25% está representado:1) Se formulo el Plan de Acción del Proceso de Investigación cuyas actividades estan orientadas a fortalecer los grupos de investigación categorizados por COLCIENCIA, lo cual se puede evidenciar en el Plan de Acción  institucional publicado en la pagina Weeb en el link https://drive.google.com/file/d/1OXdnZEyAjtJLt3g3AClJdn1FnYCU_Dmf/view?usp=sharing; 2) En la semana del 26 al 28 de febrero se reunieron los grupos de investigación para realizar un autodiagnostico y definir un plan de mejora</t>
  </si>
  <si>
    <t xml:space="preserve">En el 1 trimestre 122 estudiantes discriminados así :CURSO DE IDIOMAS (INGLÉS) 55 
TECNICO LABORAL EN PRIMERA INFANCIA 26 
CURSO INDUCCION DOCENTE 27 
SEMINARIO TALLER IDENTIDAD CULTURAL 14
</t>
  </si>
  <si>
    <t>Se encuentra en ejecución la campalña de comunicación</t>
  </si>
  <si>
    <t>Se cuenta con la campaña de divulgación Yo creo en Infotep, donde se muestran los avances realizados y alineados con el Plan de Desarrollo Institucional</t>
  </si>
  <si>
    <t>Se contrató profesional para la gestión de la proyección social y relaciones comunitarias del INFOTEP por 9 meses; adicionalmente se aportaron recursos  por tres millones para el contrato de un operador logístico.</t>
  </si>
  <si>
    <t>Periodicamente (cada 9 dias) se reune el semillero de investigacion, tocando temas aterrizados al contexto internacional, nacional o local según lo requeirdo. El resultado de estasreuniones es la conceotualizacion y obtención de insumos que permiten formular proyectos de investigación que aborden problemas de la region.</t>
  </si>
  <si>
    <t>No se han realizado capacitaciones, sin embargo existen los estudios previos para abrir el proceso de convoctaria para la contratacion de cursos de fortalacimiento de Grupos de investigación.</t>
  </si>
  <si>
    <t>A la fecha aun no se asisten a eventos de investigación; se tiene estimado asistir a un intercambio de saberes con el semillero a finales del mes de Mayo.</t>
  </si>
  <si>
    <t xml:space="preserve">Se avanzó en la inclusion de la institución en la Red de emprendimiento Departamental; a su vez se creo la unidad de emprendimeinto del instituto. </t>
  </si>
  <si>
    <t>Con respecto a esta meta, la institución adelantó la contratación de un profesional que en la actualidad se encuentra actualizando la información tranversal de la institución, tenciendo en cuenta los 15 condiciones minímas para la obtención de nuevos programas académicos. también es importante destacar que la institiución inicio el proceso de contratación (por concurso) para recibir asesoria en el diseño y construcción de la nueva oferta académica.</t>
  </si>
  <si>
    <t>No se ha iniciado proceso.</t>
  </si>
  <si>
    <t xml:space="preserve">La institución ha venido desarrollando temas que buscan fortalecer  las competencias académicas, pedagogicas y tecnologicas de los docentes, por ello  el área de gestión académica se propusieron temas como: Didacticas para optimizar el proceso de enseña y aprendizaje, gestion del conocimiento, diseño curricular y la inclusión de las nuevas técnologías en el desarrollo de las clase. Se realizo reunión con el área de extensión para iniciar las gestiones correspondientes para el desarrollo de los temas. </t>
  </si>
  <si>
    <r>
      <rPr>
        <u/>
        <sz val="10"/>
        <rFont val="Arial"/>
        <family val="2"/>
      </rPr>
      <t>Reporte de Gestión Académic</t>
    </r>
    <r>
      <rPr>
        <sz val="10"/>
        <rFont val="Arial"/>
        <family val="2"/>
      </rPr>
      <t xml:space="preserve">a: La institución en sus diversos esfuerzos está logrando articular diferentes áreas con el fin de alcanzar los objetivos propuestos; por ello el área de gestión académica y de Bienestar universitario, realizan esfuerzos en común para lograr tener espacios dentro del desarrollo de las actividades académicas que estimulen, el acceso, la permanencia y la graduación. Para ello se dispusieron inicialmente dentro del calendario académico 4 fechas en las que los docentes estarán en reuniones para evaluar los avances y dificultades de los diferentes cohortes y alterno los estudiantes estarán con el equipo de bienestar universitario desarrollando diferentes actividades. Por otro lado, con la gestora social contratada por la institución, se estarán llevando a cabo microferias de servicios en los diferentes sectores de la isla, para favorecer el acceso a la educación superior de la población de las islas. </t>
    </r>
    <r>
      <rPr>
        <u/>
        <sz val="10"/>
        <rFont val="Arial"/>
        <family val="2"/>
      </rPr>
      <t>Reporte de Bienestar Estudianti</t>
    </r>
    <r>
      <rPr>
        <sz val="10"/>
        <rFont val="Arial"/>
        <family val="2"/>
      </rPr>
      <t>l: Durante el primer trimestre 2018 desde el área de bienestar se han realizado las siguientes actividades: inducción y re-inducción de estudiantes, se realizó el trámite para la adquisición de los bonos de transporte la adquisición de las camisetas y agendas institucionales, estos tramites se encuentran adelantados por el área juridica, seguimiento a los casos de posibles deserciones, conformación del grupo de danzas tipicas y contemporaneas, evaluación y asesoria deportiva y atención al gimnasio, atención por parte del área de salud y psicología.</t>
    </r>
  </si>
  <si>
    <t xml:space="preserve">Entre las actividades desarrolladas por bienestar durante este trimestre estan: ciclopaseo, conmemoración del dia de la mujer y del hombre, campañas de salud y de desarrollo humano. </t>
  </si>
  <si>
    <t xml:space="preserve">Se inició el trámite para la contratación del servicio. </t>
  </si>
  <si>
    <t xml:space="preserve">Las actividades de bienestar dirigidas a la ejecución del proyecto se han desarrollado según lo planeado, entre estas estan: contratación del personal que apoya el área de bienestar, se ha elaborado los planes de acción para el desarrollo de dichas actividades, como asesorias desde el área de salud, psicología y deporte. </t>
  </si>
  <si>
    <t>Se estan llevando a cabo las actividades del Plan de Bienestar Social e Incentivos, Plan Institucional de Capacitacion. Se proyecta una evaluacion para determinar el impacto del Fortalecimiento y desarrollo del Talento Humano.</t>
  </si>
  <si>
    <t>Se renovó la afiliación a las redes TTU y Luis Angel Arango, adicionalmente hubo participación de (2) personas de la institución a la Asamblea de Rectores de la RED TTU y asistieron (3) personas a reunión en la escuela de sub oficiales de la armada nacional para establecer alianza estrategica entre ambas instituciones</t>
  </si>
  <si>
    <t>Se visitó a la Uniremington en medellín, promocionando la inmersión del centro de lenguas. Se contrató una empresa para la expedición de los tiquetes para promocionar el centro de lenguas.</t>
  </si>
  <si>
    <t>Se realizó la celebración del dia de la lengua materna.</t>
  </si>
  <si>
    <t>Se contrató a la docente de danzas para la implementación del grupo de danzas del infotep, logrando abrir un grupo de danzas. Se contrató un profesor de inglés y creole para dictar clase en el centro de lenguas , se lograrón abrir 4 cursos de inglés. Se contrató a un profesional especializado en lenguas, hasta el mes de noviembre.</t>
  </si>
  <si>
    <t>Corrresponde al contrato de la coordinadora del Proyecto. (9 meses)</t>
  </si>
  <si>
    <t>Ya se realizaron los Estudios previos y se solicitó el certificado de disponibilidad presupuestal. Igualmente se allegaron al area de contratación las cotizaciones de posibles oferentes.</t>
  </si>
  <si>
    <t>Corresponde al contrato del personal a cargo del mantenimiento de los equipos. ( 10 meses)</t>
  </si>
  <si>
    <t>Pertenece al proceso de apoyo logístico. Se entregó al area de contratacion los certificados de disponibilidad presupuestal.</t>
  </si>
  <si>
    <t>La labor con la Instituciones de la Media para lograr que los estudiantes Articulen con el INFOTEP, se realizó a principios del Año con las siguientes instituciones vinculadas: Sagrada Familia, Bolivariano, Flowers Hill, Brooks Hill, Inedas, Junin (PVA).</t>
  </si>
  <si>
    <t>La vinculación del Personal quien desarrollará la estrategia ya se encuentra laborando. Ya se han iniciado los procesos con los padres de familia.</t>
  </si>
  <si>
    <t>Corrresponde al contrato de la profesional en psicologia del Proyecto. (10 meses)</t>
  </si>
  <si>
    <t>Ya se solicitó el certificado de disponibilidad presupuestal y se netregaron los estudios previos al area de contratacion</t>
  </si>
  <si>
    <t>Esta actividad se realiza al final de cada semestre.</t>
  </si>
  <si>
    <t>La fase de autoevaluación no ha dado inicio al desarrollo, debido a que no se ha entregado la fecha de la visita de consejeros por parte del CNA, el proceso quedo actualmente y desde el  2 de marzo de 2018, se visualiza en platorma en tramite de visita de consejeros</t>
  </si>
  <si>
    <t>En el primer semestre /2018-I), se matricularon en primer semestre 395 estudiantes en los diferentes programas técnicos profesionales .</t>
  </si>
  <si>
    <t>En el primer semestre (2018-I), el total de estudiantes matriculados en los diferentes programas técnicos profesionales asciende a 951 estudiantes.</t>
  </si>
  <si>
    <t>Se inicio trabajo para documentar las condiciones de calidad de los 10 programas por ciclos propedéuticos que se radicaran en SACES en la vigencia</t>
  </si>
  <si>
    <t>El plan de trabajo para adelantar el proceso de autoevaluación institucional que cobija todos los programas técnicos profesionales de la institución, avanza de acuerdo a lo planeado.</t>
  </si>
  <si>
    <t>A la fecha de corte se han matriculado 200 estudiantes en los diferentes programas de educación para el trabajo y desarrollo Humano, que equivalen a 50 estudiantes mas de lo esperado para el primer semestre</t>
  </si>
  <si>
    <t xml:space="preserve">A la fecha de corte solo se ha ejecutado el 7% de los recursos de inversión. Esto se debe a la no asignación de PAC por parte del Ministerio de Hacienda para adelantar los procesos contractuales.  </t>
  </si>
  <si>
    <t>Se formularon 2 proyectos nuevos para solicitar recursos de para la vigencia 2019, los cuales cumplen con la nueva metodología de cadena de valor del DNP</t>
  </si>
  <si>
    <t>Se formuló plan de acción para la vigencia 2018 y se publico oportunamente en la pagina web. Se realzo el primer seguimiento trimestral</t>
  </si>
  <si>
    <t xml:space="preserve">A la fecha de corte el avance del plan de acción de la oficina de internacionalización asciende al 20% de las actividades programadas. </t>
  </si>
  <si>
    <r>
      <t>A la fecha se ha brindado asistencia técnica a</t>
    </r>
    <r>
      <rPr>
        <b/>
        <sz val="16"/>
        <rFont val="Calibri"/>
        <family val="2"/>
        <scheme val="minor"/>
      </rPr>
      <t xml:space="preserve"> 151 </t>
    </r>
    <r>
      <rPr>
        <sz val="12"/>
        <rFont val="Calibri"/>
        <family val="2"/>
        <scheme val="minor"/>
      </rPr>
      <t>entidades de la administración pública en implementación y/o mejoramiento de procesos para el goce efectivo de los derechos de las personas con discapacidad visual.</t>
    </r>
  </si>
  <si>
    <t>A la fecha se realizó la producción de 286.658 unidades de tarjetas electorales para elecciones presidenciales, para clientes externos, e impresos solicitados por subdirección
Dado que el cumplimiento de esta meta esta por encima de lo planeado, se reformuló en el proyecto de mejoramiento de la calidad de la dotación en el SUIFP pero en este momento se encuentra en revisión por parte el DNP</t>
  </si>
  <si>
    <t xml:space="preserve">A junio 30 de 2018, se han producido 5536 libros y textos escolares en formato digital accesible para las personas con discapacidad visual </t>
  </si>
  <si>
    <t>Al finalizar el primer semestre del año se han descargado 1308 libros por parte de las personas con discapacidad visual</t>
  </si>
  <si>
    <t>En el 2 trimestre el número total de estudiantes fue de 96 discriminados así :CURSO DE IDIOMAS (INGLÉS)71, y Primera Infancia 25</t>
  </si>
  <si>
    <t>Se ejecutó una estrategia  en el marco del día mundial del medio ambiente y 2 campañas de divulgación enfocadas en la  III jornada de limpieza del borde costero y concurso de compromiso ambiental</t>
  </si>
  <si>
    <t>Para el segundo trimestre se realizó una (1) alianza con la FAC, Secretaria de desarrollo social, ICBF y comunidad del sector del Barrack para la jornada de la celebracion del dia de la familia</t>
  </si>
  <si>
    <t>Se realizaron reuniones periodicamente  para fortalecer los proyectos generados y liderados por el semillero de investigacion.</t>
  </si>
  <si>
    <t>El grupo de investigacion realizó el curso: Plataforma SCIENTI Y CATEGORIZACION DE GRUPOS teniendo como objetivo participar en la proxima convoctaroia de colciencia para categorizacion de grupos.</t>
  </si>
  <si>
    <t>Se realizó intercambio de saberes con la institucion COLMAYOR.</t>
  </si>
  <si>
    <t>Inclusion en la Rede de emprendimeinto departamental.</t>
  </si>
  <si>
    <t xml:space="preserve">Fue adjudicada contratación a IES para que poye la creación de la nueva oferta académica basado en el estudio de mercado que la institución realizó en diciembre del año pasado. La IES ya se encuentra trabajando en los documentos  maestros con   las quince condiciones de calidad establecidas por el ministerio de educación nacional. </t>
  </si>
  <si>
    <t>Se estableció alianza con IES para la profesionalización de nuestros egresados y otros interesados en las carrera de Administración de empresas y contaduria Pública.</t>
  </si>
  <si>
    <t>La institución ha venido desarrollando temas que buscan fortalecer  las competencias académicas, pedagogicas y tecnologicas de los docentes, por ello  el área de gestión académica se propusieron temas como: Didacticas para optimizar el proceso de enseña y aprendizaje, gestion del conocimiento, diseño curricular y la inclusión de las nuevas técnologías en el desarrollo de las clase. Se realizo reunión con el área de extensión para iniciar las gestiones correspondientes para el desarrollo de los temas. 
Se participó en el Taller de...</t>
  </si>
  <si>
    <t>Acceso y Permanencia: Se esta adelantando convenio con el Departamento de la Prosperidad Social DPS, para que nuestros estudiantes participen en la iniciativa Jovenes en Acción.</t>
  </si>
  <si>
    <t>Durante el segundo trimestre 2018 desde el área de bienestar se han realizado las siguientes actividades orientadas a Implementar el Plan de Acceso permanencia y graduación: Adquisición de los bonos de transporte la adquisición de las camisetas para la limpieza del borda costero, inicio del trámite para la adquisición de las agendas institucionales,continuan los seguimiento a los casos de posibles deserciones, practicas y presentación del grupo de danzas tipicas y contemporaneas institucional, evaluación y asesoria deportiva, atención al gimnasio, atención por parte del área de salud y psicología, microferia de servicios.</t>
  </si>
  <si>
    <t xml:space="preserve">Entre las actividades desarrolladas por bienestar durante este trimestre estan: Taller "Cultura de Paz y Derechos Humanos, Prevención del Tabaquismo, Taller de Enfermedades Crónicas no Transmisibles (toma de talla, peso, tamizaje y glucometria), Charla-taller sobre alementación Saludable (educación en nutrición), Charla Sexualidad responsable, Prevención de ITS, Planificación Familiar.   </t>
  </si>
  <si>
    <t xml:space="preserve">Las ejecución de estas actividades se han desarrollado en su mayoría, no solo se han realizado asesorias desde el área de salud, psicología y deporte, tambien se han desarrollado las actividades desde el áera de Recreación y Deporte y Desarrollo Humano.  </t>
  </si>
  <si>
    <t>Participación de 6 funcionarios de la institución en actividad académica denominada Diplomado internacional sobre protocolo de estado y ceremonial diplomático.</t>
  </si>
  <si>
    <t>Participacion en el estudio que esta realizando la RCI Nodo norte  de los ejes: Gestión de la iInternacionalización e Internacionalización del Currículo.</t>
  </si>
  <si>
    <t>Se visitó a la Uniremington en medellín, promocionando la inmersión del centro de lenguas. Se contrató una empresa para la expedición de los tiquetes para promocionar el centro de lenguas. Se mandaron a imprimir flyers para la inmersión del centro de lenguas y cultura</t>
  </si>
  <si>
    <t>Se realizó la celebración del dia de la lengua materna. Se participo en el més de abril en elCiclo de Conferencias del Campo Profesional e Investigativo, del departamento de lenguas en la UCEVA TULÚA, al igual que en el més de junio, se participó en el immersion day en el mes de Junio en la UCEVA de Tulúase realizarón las vacaciones recreativas con enfasis en inglés con un total de 21 niños, siendo el programa todo un exito.</t>
  </si>
  <si>
    <t>El contrato a esta adjudicado  se encuentra en proceso de aprobación de muestras por parte del supervisor del contrato</t>
  </si>
  <si>
    <t>El contrato ya fue adjudicado . Las actividades se iniciarán una vez los estudiantes entren de su periodo de vacaciones.</t>
  </si>
  <si>
    <t>Ya se han iniciado los procesos con los padres de familia.</t>
  </si>
  <si>
    <t>El contrato fue adjudicado  los bonos entregados. Los estudiantes a se encuentran haciendo uso del servicio</t>
  </si>
  <si>
    <t xml:space="preserve">En te primer semestre no se vio la necesidad de realizar actividades de plan de mejoramiento.  Generalemte se realiza cuando hay estudiantes con necesidades de refuerzo  mejormaiento. </t>
  </si>
  <si>
    <t>Se efectuó la consolidación de la información remitida por las áreas misionales con base en el anteproyecto de presupuesto 2018 y se calculó el valor promedio de las actividades de la cadena de valor para cada una de las pruebas de Estado (Saber 11 y Saber Pro)</t>
  </si>
  <si>
    <t xml:space="preserve">Se están realizando las adaptaciones del Cat-Icfes (motor adaptativo y Plexy), de acuerdo a las sugerencias realizadas por el asesor internacional.  En el mes de junio, se organizó una agenda de trabajo para la visita del asesor en la semana del 25 al 29 de Junio, se realizaron jornadas de trabajo en las cuales se abordaron temas como: Propuesta de Prueba Adaptativa (CAT) para el piloto Pre Saber, CAT-Icfes (motor adaptativo y plataforma Plexy), diseño de evaluaciones educativas, niveles de desempeño, y por último se recibieron recomendaciones y sugerencias para el desarrollo del piloto. </t>
  </si>
  <si>
    <t>Se ha avanzado en el desarrollo de los análisis sobre análisis de comportamiento diferencial, aumento de datos, análisis estadístico del armado, análisis factoriales exploratorios y confirmatorios, entre otros.</t>
  </si>
  <si>
    <t>• Publicación de Informes de resultados de 2012 Estudio principal de Factores Asociados en la página web del Icfes.
• Se realizaron las infografías sobre descarga y uso de resultados de Saber PRO y Saber 11 para ser enviadas en julio de 2018 (Saber PRO) y noviembre de 2018 (Saber 11).
• El boletín “Saber es de Todos” quedó definido y montado, estamos a la espera del envío por parte de la Oficina de Comunicaciones en julio de 2018.
• Seis guías Saber Pro y Saber TyT: guías publicadas en el aplicativo de consulta de resultados de icfesinteractivo.gov.co.
• Informe Latinoamericano de ICCS: entregado y publicado por la IEA.
• Informes nacionales de las Pruebas de Estado: publicamos el informe de Saber 359, el informe de Saber 11 ya fue publicado y los informes de Saber PRO y Saber TyT están en diagramación para publicación en julio de 2018.
• Plataforma de ítems liberados de Saber 11: lo estamos desarrollando en conjunto con la dirección de tecnología, posiblemente no entra en la priorización de PRISMA por lo que dependemos de tecnología para lograr tener la plataforma a final del 2018.
• Plataforma de ítems liberados Saber PRO: lo estamos desarrollando en conjunto con la dirección de tecnología, posiblemente no entra en la priorización de PRISMA por lo que dependemos de tecnología para lograr tener la plataforma a final del 2018.
*Diseño e implementación del curso virtual sobre evaluación formativa: el curso fue desarrollado y los profesores están realizando el curso</t>
  </si>
  <si>
    <t xml:space="preserve">En el segundo trimestre del año, se realizó la aplicación de la prueba "Avancemos" para los grados 4°, 6° y 8° (1era. aplicación) para 345.033 estudiantes de 3.160 instituciones en 505 municipios de 30 departamentos.
Se continúa trabajando en los requerimientos para garantizar la presentación de las demás pruebas a aplicar en segundo semestre del año, que corresponden a: 
1. Saber 11 INSOR
2. Avancemos 4°, 6° y 8° (2da. aplicación)
3. Ascenso a mayores - Policía Nacional
4. Saber PRO y Saber TyT en el exterior </t>
  </si>
  <si>
    <t>Durante el segundo semestre se adecuaron los documentos anexos al procedimiento del equipo de Nuevos Negocios, en materia de Evaluación de Satisfacción y Lecciones Aprendidas, así como la ficha del proyecto. Por otro lado, se estructura y actualiza la información del Documento Modelo de Nuevos Negocios y se realiza una actualización de la información en compañía de todos los integrantes de equipo.</t>
  </si>
  <si>
    <t xml:space="preserve">Se continuó con la divulgación por redes sociales de las convocatorias y se respondieron inquietudes por medio de los correos electrónicos de las convocatorias
Se cerraron las convocatorias de investigación y se preseleccionaron los ganadores. Estos recibieron los comentarios y ajustes solicitados a sus propuestas, las cuales servirán de base para elegir los ganadores finales que se darán a conocer el 24 de julio por la página web.
Se cerró el proyecto de Aulas sin Fronteras con presentación ante el MEN y se comenzó el desarrollo del proyecto de evaluación del ISCE.
</t>
  </si>
  <si>
    <t>Este avance del 75% esta representado : 1) Se tiene el documento maestro para solicitar al CONCES el nivel profesional  del area de contabilidad (contaduria), ya que se tiene por ciclo propedutico el tecnico y tecnologo; 2)  Se tiene el documento maestro para registrar en el CONACE el programa Tecnologia en Gestión de la Seguridad Industrial y Salud en el Trabajo ; 3)   Se tiene el documento maestro para registrar en el CONACE el programa Tecnologia el la Gestión en la produción Agoindustrial de Alimentos.</t>
  </si>
  <si>
    <t>Se ha venido ejecutando la estrategia de Marketing.</t>
  </si>
  <si>
    <r>
      <t xml:space="preserve">Este avance del 50% está representado:1)  En la realización de talleres a los estudiantes en las competencias que se  evaluan en las pruebas Saber Pro; 2) Se realizo un taller sobre competencias que se  evaluan en las pruebas Saber Pro a los docentes coordinadores de los campos de formación; 3) Se establecio y ejecuto el </t>
    </r>
    <r>
      <rPr>
        <b/>
        <sz val="10"/>
        <rFont val="Arial"/>
        <family val="2"/>
      </rPr>
      <t xml:space="preserve">calendario interno saber Pro, </t>
    </r>
    <r>
      <rPr>
        <sz val="10"/>
        <rFont val="Arial"/>
        <family val="2"/>
      </rPr>
      <t xml:space="preserve">como se puede apreciar en la pagina Weeb en el link </t>
    </r>
  </si>
  <si>
    <r>
      <t xml:space="preserve">Este avance del 75%  está representado: 1) El 12 y 13 de junio  se realizo un taller  para que los docentes  actualizaran y/o ingresaran su curriculo vitae en </t>
    </r>
    <r>
      <rPr>
        <b/>
        <i/>
        <sz val="10"/>
        <rFont val="Arial"/>
        <family val="2"/>
      </rPr>
      <t xml:space="preserve">curriculo vitae para latinoamerica y el Caribe-CVLAC; </t>
    </r>
    <r>
      <rPr>
        <sz val="10"/>
        <rFont val="Arial"/>
        <family val="2"/>
      </rPr>
      <t>2) Mediante contrato 042 del 2018 -que innicio el 4 de mayo y termina el 4 de octubre -se comenzo un diplomado e metodologia y estadistica que tiene como proposito "</t>
    </r>
    <r>
      <rPr>
        <b/>
        <sz val="10"/>
        <rFont val="Arial"/>
        <family val="2"/>
      </rPr>
      <t>fortalecer las competencias investigativas del cuerpo docente del INFOTEP para apoyar la condición de investigación en los proceso de acreditación y registro calificado  de los programas"</t>
    </r>
  </si>
  <si>
    <t>Este avance del 75%  , en fortalecimiento de la articulación, está representado : 1) capacitación a los estudiantes de articulación en la prevención de sustancias psicoactivas; 2) Encuentros de padres en san juan y villanueva.</t>
  </si>
  <si>
    <r>
      <t xml:space="preserve">Este avance del 50% está representado:1) El 2 y 3 de mayo se realizo la </t>
    </r>
    <r>
      <rPr>
        <b/>
        <sz val="10"/>
        <rFont val="Arial"/>
        <family val="2"/>
      </rPr>
      <t xml:space="preserve">semana de investigación institucional; 2) </t>
    </r>
    <r>
      <rPr>
        <sz val="10"/>
        <rFont val="Arial"/>
        <family val="2"/>
      </rPr>
      <t xml:space="preserve">El 7 y 11 de mayo se participo , en la ciudad de panama, en el </t>
    </r>
    <r>
      <rPr>
        <b/>
        <sz val="10"/>
        <rFont val="Arial"/>
        <family val="2"/>
      </rPr>
      <t xml:space="preserve">encuentro latinoamericano de investigación; 3) El 24, 25 y 26 de mayo </t>
    </r>
    <r>
      <rPr>
        <sz val="10"/>
        <rFont val="Arial"/>
        <family val="2"/>
      </rPr>
      <t>se participo en el encuetro departamental de la red colombiana de investigadores-recolsin.</t>
    </r>
  </si>
  <si>
    <t>Se dio cumplimiento de las actividades programadas  superando lo proyectado para el otorgamiento de credito  del segundo trimestre</t>
  </si>
  <si>
    <t>De acuerdo a la caracterización que se esta realizando IES se estructuraran los nuevos productos para el tercer trimestre</t>
  </si>
  <si>
    <t>Se proyectaba que 28 IES utilizarán los servicios no financieros a la fecha ya lo han beneficiado 84 IES</t>
  </si>
  <si>
    <t>Se realizaron las actividades programadas para incrementar el numero de IES afiliadas al FODESEP, logrando la afiliacion de 7 nuevas IES</t>
  </si>
  <si>
    <t>Se fortalece las Relaciones Interinstitucionales con la participación de la Gerencia General a los diferentes convocados donde se logró un  posicionamiento de FODESEP</t>
  </si>
  <si>
    <t>la actividad se cumplio en el primer trimestre</t>
  </si>
  <si>
    <t>Esta actividad se realizo en el primer trimestre</t>
  </si>
  <si>
    <t>Esta actividad esta proyectada para ser realizada en el trecer trimestre</t>
  </si>
  <si>
    <t>Se realizaron las actividades proyectadas de verificacion de la participacion IES en las sesiones convocadas, dando como resultado un 42%</t>
  </si>
  <si>
    <t xml:space="preserve">Se realizaron las actividades proyectadas de verificacion de la participacion IES en las sesiones convocadas, dando como resultado un 23% teniendo en cuenta que no se elaizo la eunon de mes de junio </t>
  </si>
  <si>
    <t>Se realizaron las actividades proyectadas  la participación  en eventos de defensade FODESEP, dando como resultado un 45%</t>
  </si>
  <si>
    <t>Se diseño  la estrategias de pormocion y mercadeo proyectadas para este trimestre</t>
  </si>
  <si>
    <t>Se realizaron las actividades planeadas para el segundo trimestre ya que las actividades se dio inicio en el mes de mayo</t>
  </si>
  <si>
    <t>Se diseño plan de mercadeo</t>
  </si>
  <si>
    <t>Se esta ejecutando el plan de acuerdo a lo proyectado para este trimestre ya que las actividades se dio inicio en el mes de mayo</t>
  </si>
  <si>
    <t>Al mes de junio se han efectuado 467 adjudicaciones,
Se desembolsaron 420 créditos para sostenimiento y se renovaron 2.227 créditos para población víctima.</t>
  </si>
  <si>
    <t>Al mes de junio se han adjudicado 2.974 subsidios de sostenimiento. Estos subsidios serán efectuados en el transcurso del año.</t>
  </si>
  <si>
    <t>Al mes de junio se han renovado 47.347  subsidios de sostenimiento.Estos subsidios serán efectuados en el transcurso del año.</t>
  </si>
  <si>
    <t>Al mes de junio se han efectuado 7 nuevas adjudicaciones para población en condición de discapacidad.</t>
  </si>
  <si>
    <t>Al mes de junio se han adjudicado 855 nuevos créditos para población indígena, sin embargo el fondo tiene al 30 de junio 1.015 beneficiarios legalizados que se encuentran en proceso de giro.</t>
  </si>
  <si>
    <t>Al mes de junio se efectuaron 3.700 renovaciones para población indígena.</t>
  </si>
  <si>
    <t>Al mes de junio no se han adjudicado nuevos créditos para población afrodescendiente, sin embargo, el fondo inició su proceso de legalización para el periodo 2018-1 con el cual se ha logrado para el cierre de junio un total de 305 beneficiarios legalizados.</t>
  </si>
  <si>
    <t>Al mes de junio se efectuaron 6.575 renovaciones para población afrodescendiente.</t>
  </si>
  <si>
    <t>Al mes de junio se han adjudicado 5 nuevos créditos para población RROM.
Al mes de junio se han efectuado 20 renovaciones para ésta población.</t>
  </si>
  <si>
    <t>Al mes de junio se han efectuado 4.151 condonaciones del 25%.</t>
  </si>
  <si>
    <t>Al mes de junio se han desembolsado 47 nuevos créditos a los mejores bachilleres.
No se ha suscrito el convenio respectivo para adjudicar la Beca  "Omaira Sánchez" e ICETEX se encuentra a la espera de las directrices por parte del Ministerio de Educación Nacional.
Se efectuaron 2 renovaciones de la Beca "Jóvenes ciudadanos de Paz"</t>
  </si>
  <si>
    <t>Al mes de junio se renovaron 314 subsidios a los mejores bachilleres.</t>
  </si>
  <si>
    <t xml:space="preserve">Al mes de junio no se han otorgado nuevas becas para maestría y doctorado y se efectuaron 34 renovaciones. </t>
  </si>
  <si>
    <t>Al mes de junio no se ha adjudicado la beca.</t>
  </si>
  <si>
    <t>*Al mes de junio se han efectuado 5.948 giros de adjudicación de nuevos pilos.
*Se han efectuado 5.798 giros de nuevos subsidios para Ser Pilo Paga.
* Se han efectuado 33.040 giros de renovación de Ser Pilo Paga.
* Se han realizado 44.689 giros de renovación a beneficiarios del Subsidio de Sostenimiento del programa Ser Pilo Paga.</t>
  </si>
  <si>
    <t xml:space="preserve">Al mes de junio no se han adjudicado nuevos créditos para maestros. ICETEX se encuentra a la espera de que el Ministerio de Educacion Nacional defina el numero de adjudicados para el 2018. </t>
  </si>
  <si>
    <t>Al mes de junio se renovaron 721 créditos para maestros.</t>
  </si>
  <si>
    <t>Al mes de junio se han efectuado 38 condonaciones a mejores Saber Pro. Estas condonaciones se efectuaran en el transcurso del año.</t>
  </si>
  <si>
    <t>Al mes de junio se desembolsaron 3.685 créditos con subsidio de tasa.</t>
  </si>
  <si>
    <t>Al mes de junio se renovaron 73.017 créditos con subsidio de tasa.</t>
  </si>
  <si>
    <t>Al mes de junio se renovaron 5.913 créditos para médicos.</t>
  </si>
  <si>
    <t>Durante el segundo trimestre se desarrollaron 47 asesorías; de las cuales 28 fueron a secretarías de educación (Antioquia, Armenia, Bucaramanga, Buenaventura, Buga, Cali, Cúcuta, Cundinamarca, Huila, Ibagué, Ipiales, La Guajira, Meta, Mosquera, Nariño, Neiva, Norte de Santander, Pasto, Popayán, Riohacha, Risaralda, Sabaneta, Santa Marta, Santander, Soacha, Tolima, Tunja y Valledupar); 4 a entidades de educación superior (Universidad Nacional de Antioquia, Universidad Tecnológica de Santander, Universidad Tecnológica Metropolitana y Universidad del Norte); 6 a instituciones educativas (IE ENS Bucaramanga, IE ENS de Neiva, IE Niño Jesus de Praga, IE Salvador Suarez , IE Francisco Luis Hernandez e IE Técnico Guaymaral); 7 acompañamientos al MEN en asesoría sobre decreto 1421en las ciudades de (Atlántico, Barranquilla, Huila, Ibagué, Neiva, Soledad y Tolima); 1 sobre sordoceguera y 1 exclusiva a padres de familia de la IE Salvador Suarez Suarez.</t>
  </si>
  <si>
    <t>Conforme a lo establecido, se realiza la escritura del los apartados del documento de la estrategia integral para el mejoramiento de la calidad educativa de la población sorda, lo cual deriva en el documento que se anexa, el cual está sujeto a eventuales ajustes</t>
  </si>
  <si>
    <t>Se avanzo en el desarrollo de procesos de asesoría y asistencia técnica para la inclusion de poblacion sorda en Instituciones de Educación Superior: Universidad Nacional de Antioquia, Universidad Tecnológica de Santander; Universidad Tecnológica Metropololitana, Universidad del Norte, Universidad Distrital, y acompañamiento tecnico a la agenda trimestral de la red de Instituciones de Educacón Superior por la Discapacidad.</t>
  </si>
  <si>
    <t>• Se seleccionaron y tradujeron los Ítems de la prueba SABER 11 - 2018 (27 Ítems).
Se realiza la producción audiovisual del Tour de ayuda de la plataforma PLEXI.
Se produjeron 15 Ítems liberados en Lengua de Señas Colombiana.
Se videograbaron, los contenidos de la guía de la prueba SABER 11. (11 contenidos).
Se realizaron sesiones de asesoría, con la oficina de comunicaciones, de diseño, para la divulgación, preparación y aplicación de la prueba.
• Durante el segundo trimestre (abril a junio) se ha avanzado con respecto a la producción de los 120 contenidos, así: 
12 clases en vivo
22 cortos
8 lecciones de módulos
40 contenidos de Cundinamarca 
Total segundo trimestre: Elaboración de 82 contenidos educativos accesibles</t>
  </si>
  <si>
    <t xml:space="preserve">Durante en segundo trimestre se realizaron las siguientes acciones: . - Documento preliminar de lineamientos u orientaciones para la creación de programas a nivel profesional en Instituciones Educación Superior. 
- Reuniones con la Universidad Distrital Francisco José Caldas  y el Instituto Tecnológico Metropolitano de Medellín para la formación de intérpretes 
- En el marco de la alianza con el SENA se realizó la consulta pública y mesas de validación en Medellín e Ibagué de las Normas Sectoriales de Competencias Laborales –NSCL- de intérpretes y guías intérpretes con la asistencia de 31 personas sordas y 31 oyentes y se realizaron los ajustes de las NSCL para revisión metodológica por el SENA. 
- En el marco de la alianza con ICONTEC se realizó la traducción a lengua de señas colombiana del proyecto de norma DE013/2015, “SERVICIOS DE INTERPRETACIÓN. REQUISITOS Y RECOMENDACIONES GENERALES”, correspondiente a la norma ISO 18841 ”Interpreting Services General Requirements and Recommendations, en el maco del trabajo relizado en el comité tecnico 217 Lenguaje y Teminologia de ICONTEC y socilaización de la misma en la reunión plenaria del Comité Técnico 37, Subcomité 5 (SC5) “Language and Terminology”, de la Organización Internacional de Normalización (ISO), llevada a cabo el 15 de junio en la ciudad de Hangzhou (China). </t>
  </si>
  <si>
    <t>En el primer semestre de 2018 se matricularon 395 estudiantes de nuevo ingreso en los diferentes programas tecnico profesionales.</t>
  </si>
  <si>
    <t>En el primer semestre de 2018 se han matriculado 951 estudiantes.</t>
  </si>
  <si>
    <t>Las condiciones de calidad se encuentran documentadas, falta proceso de validación en los diferentes organos de validación.</t>
  </si>
  <si>
    <t>Se aplico plan de trabajo para el proceso de autoevaluación en los diferentes programas académicos, falta informe y socialización de los resultados.</t>
  </si>
  <si>
    <t>En el primestre semestre académico del año 2018 se han matriculado 200 estudiantes.</t>
  </si>
  <si>
    <t xml:space="preserve">A la fecha de corte se han ejecutado el 40% de los recursos de inversión, este nivel de inversión se debe al cupo PAC asignado y en el mes de abril se aplazaron para la siguiente vigencia el 7% de los recursos. </t>
  </si>
  <si>
    <t>Para la vigencia 2019 se formularon 2 nuevos proyectos de inversión, los cuales se realizaron con la nueva metodologia de cadena de valor con los nuevos programas presupuestales de 2019.</t>
  </si>
  <si>
    <t>Se han realizado avances en capacitaciones a docentes en cualificacion de investigacion, semilleros. La mayor parte de las actividades estan programadas para el segundo semestre de la vigencia</t>
  </si>
  <si>
    <t>Se realizan cursos de ingles para el personal docente y administrativo, se participa en eventos de redes de intercambio academico.</t>
  </si>
  <si>
    <t>Se realizó la caraterización de estudiantes de bachillerato con sos respectivos acudientes, se estpa tabulzando y analizando la información para dar inicio a los estudiantes de PES</t>
  </si>
  <si>
    <t>Está en la fase de pre-selección de pares académicos, actualmente se está trabajando en el procesos de alistamiento del proceso de acreditación y autoevaluación</t>
  </si>
  <si>
    <t>La institución recibio visita de apreciación de Condiciones Iniaciles por parte del CNA,  el dia 8 de mayo de 2018 cuyo consejero asignado fue el Dr. Alvaro Andres Motta, este proceso se desarrollo de acuerdo a la agenda establecida y concertada donde se realizaron las diferentes presentaciones tanto institucional como del programa de Administración y los encuentros con egresados, sector productivo, docentes y estudiantes. Pendiente concepto de la visita por parte de CNA</t>
  </si>
  <si>
    <t>Se completó el primer acompañamiento de dos a las 95 ETC de acompañamiento pedagógico con los equipos de caldiad de las SE y el taller de formación a los rectores en el Taller Día E 2018, de las cuales 61 cuentan con reporte y evidencias completas</t>
  </si>
  <si>
    <t>Durante el mes de Junio se contó con un total de 301 Formadores Nativos Extranjeros, los cuales impactan 295 Instituciones Educativas focalizadas por el programa Colombia Bilingüe</t>
  </si>
  <si>
    <t>Con corte a junio se cuenta con 372 aulas con mejoramiento o ampliación a nivel nacional</t>
  </si>
  <si>
    <t>Con corte a junio se cuenta con 358 aulas nuevas construidas a nivel nacional</t>
  </si>
  <si>
    <t>En junio se realizo el evento de formación a 90 formadores para el ciclo II, y se inició el suceso de eventos de formación a 1.307 tutores de acuerdo a lo previsto. De igual forma el dia 5 de junio se llevo a cabo un evento academico del Programa donde se realizo un balance de resultados a la fecha</t>
  </si>
  <si>
    <t>El seguimiento y monitoreo realizado por el MEN a corte 30/06/2018 y con base en los soportes contractuales enviados por 93 ETC se tiene un reporte de 640.680.384 raciones de PAE regular y PAE JU. Es necesario indicar que a corte 30/06/2018, no ha iniciado operación PAE en ETC Montería y Cartagena.</t>
  </si>
  <si>
    <t>Con corte a junio se estima que al 43% de las Secretarías de Educación se les ha brindado Plan de Asistencia Técnica por parte de la Subdirección de Fortalecimiento</t>
  </si>
  <si>
    <t>No aplica para el periodo. No obstante, se realizó taller Caminos hacia la Lectura y Escritura en Mocoa así como taller de formación con docentes en el Festival Epico en la ciudad de Barranquilla, este taller tuvo como objetivo el acompañamiento pedagógico en estrategias de lectura en voz alta y compartida</t>
  </si>
  <si>
    <t>Con corte a junio de 2018, el 50% de las ETC han implementado la política de bienestar</t>
  </si>
  <si>
    <t>Este indicador se cumplió en su totalidad durante el mes de febrero donde se realizó la entrega de libros de trabajo en inglés de la serie Way to GO! a grados 6, 7 y 8. Es decir se entregaron 201.626 libros a 370 establecimientos educativos focalizados por el programa Colombia Bilingüe.</t>
  </si>
  <si>
    <t xml:space="preserve">En el mes de junio se construyeron 400 ítems, 200 de lenguaje y 200 de matemáticas para la segunda clasificatotira de Supérate con el Saber. A la fecha van 2.2121.858 estudiantes </t>
  </si>
  <si>
    <t>Actualización de cifras del Taller de activación dirigido a estudiantes de cuatro (4) sedes educativas ganadoras de las Maratones de lectura 2017. Con corte a junio, 9.035 estudiantes han participado de dichas iniciativas</t>
  </si>
  <si>
    <t>No aplica para el periodo</t>
  </si>
  <si>
    <t>Se dispone de la base de datos de posibles invitados expertos junto con el perfil correspondiente, así mismo, se cuenta con una carácterización para la participación de los mismos. La Arquitectura del edusitio se encuentra diseñada y se espera lanzarlo a finales del mes de julio</t>
  </si>
  <si>
    <t>Corresponde a la continuidad del desarrollo del acompañamiento a docentes y directivos docentes propio del Ciclo I de la ruta de formación 2018, que a la fecha contempla 83.283  docentes. Se continua el trabajo en CDA en el cual se comparten las estrategias generadas en el equipo PICC-HME para su implementación en el aula</t>
  </si>
  <si>
    <t>Capacitación a 1828 docentes en procesos relacionados con Formación para la Ciudadanía y fomento de procesos de lectura y escritura en el aula.</t>
  </si>
  <si>
    <t>En junio se realizaron los primeros pagos por impresión y distribución, y la totalidad de la logística Día E. A junio se han impreso 16.289 reportes</t>
  </si>
  <si>
    <t>Se ha brindado asistencia técnica a las 95 ETC. ver adjunto Reporte junio 2018 indicador asistencias técnicas PAE</t>
  </si>
  <si>
    <t>Respecto al Número de Establecimientos Educativos con materiales pedagógicos para el mejoramiento de las prácticas de aula del programa Jornada Única. Se informa que el material correspondiente a JU fue entregado en un 100% a 2.469 sedes correspondiente a 1.967 EE JU;</t>
  </si>
  <si>
    <t>Se realizó el seguimiento a la implementación del servicio de Preescolar integral en 27 municipios de 11 entidades territoriales certificadas en Educación. Se realizan visitas a IE de Yotoco, y Cali, además se realiza jornada de asistencia técnica con las Secretarías de Educación de Cali y Valle de</t>
  </si>
  <si>
    <t>Durante el mes de junio se formalizaron los contratos 961 y 962 con las firma FIPC Alberto Merani y Asesoría y Gestión, se anexa avance culitativo.</t>
  </si>
  <si>
    <t>La Subdirección de Permanencia informa que el PNA en el de mes de junio están relacionadas con la fase inicial del contrato 963 de 2018 adjudicado mediante licitación pública LP-MEN-04-2018 al proponente Unión Temporal Educando Colombia – UTEC 2018, se anexa avance cualitativo</t>
  </si>
  <si>
    <t>Se han implementado de manera permanente, las acciones correspondientes al Plan Estratégico de Comunicaciones del PAE</t>
  </si>
  <si>
    <t>Se cuenta con 135 proyectos de infraestructura desarrollados en el territorio nacional</t>
  </si>
  <si>
    <t>1. Actualmente se cuenta con una documento consolidado de la estrategia de excelencia docente versión preliminar las cual en el marco del convenio con Corpoeducación se llevó a socialización y retroalimentación por actores clave en 5 mesas regionales: Barranquilla, Medellín, Cali, Bogotá y Bucaram</t>
  </si>
  <si>
    <t>Se avanzó en la entrega de 6.118.965 textos escolares en 17.041 Sedes equivalentes a 3.361 establecimientos educativos del País</t>
  </si>
  <si>
    <t>En el mes de junio se realizaron AT, con el fin de socializar el contrato para el fortalecimiento de modelos educativos flexibles. Se anexa avance cualitativo.</t>
  </si>
  <si>
    <t>Durante el mes de junio se se adjudica el contrato 0964 de 2018 con E-Training S.A.S. Se avanzó por parte del contratista en la conformación del equipo de trabajo de acuerdo con las condiciones y lineamientos estipulados en el contrato. Se anexa avance culitativo.</t>
  </si>
  <si>
    <t>Desde la Subdirección de Permanencia se realizó durante el mes de mayo del 2018 asistencia técnica a las secretarías de educación. Se anexa avance cualitativo del indicador.</t>
  </si>
  <si>
    <t>Se realizó la reunión de presentación y validación de la propuesta de articulación e implementación del MGEI en la SE Vichada. Se iniciaron las fases 3 y 4 de implementación del MGEI en las 21 SE del Convenio 849 de 2018. Así mismo, se realizaron las Jornadas del RUPEI en SE Casanare, Buenaventura</t>
  </si>
  <si>
    <t>SIN OBSERVACIÓN</t>
  </si>
  <si>
    <t>Al mes de abril se han adjudicado 262 nuevos créditos para población indígena. El fondo tiene al 30 de abril 1.015 beneficiarios legalizados.</t>
  </si>
  <si>
    <t>Al mes de marzo se han efectuado 400 adjudicaciones para población víctima. Así mismo, se han entregado 57 créditos para sostenimiento para población víctima.</t>
  </si>
  <si>
    <t>No hay avances sobre este indicador</t>
  </si>
  <si>
    <t>Al mes de abril no se han adjudicado nuevos créditos para población afrodescendiente, sin embargo, el fondo inició su proceso de legalización con el cual se ha logrado para el cierre de abril un total de 299 beneficiarios legalizados.</t>
  </si>
  <si>
    <t>Al mes de abril se han adjudicado 4 nuevos créditos y se han efectuado 20 renovaciones para población RROM.</t>
  </si>
  <si>
    <t>Al mes de abril se efectuaron 5.878 renovaciones para población afrodescendiente.</t>
  </si>
  <si>
    <t>Se radicó el insumo en NEON y se encuentra en proceso pre-contractual. Insumo 1027.Se definió requerimiento y esta pendiente de la terminación de la ejecución de las reservas presupuestales del contrato anterior para iniciar el del 2018</t>
  </si>
  <si>
    <t>Al mes de marzo no se han otorgado nuevas becas para maestría y doctorado y se renovaron 28 becas para maestría y doctorado.</t>
  </si>
  <si>
    <t>Se situaron a través del PAC $252.234.578.340 para disminución de la tasa de interes.</t>
  </si>
  <si>
    <t>Al mes de abril se efectuaron 3.671 renovaciones para población indígena.</t>
  </si>
  <si>
    <t>Taller construcción de referentes de calidad trasversales para programas de salud, se construyeron las matrices de valoración transversales para los programas profesionales de salud y para las Especialidades Medico Quirúrgicas</t>
  </si>
  <si>
    <t>En el mes de junio se recibieron 21 solicitudes para un acumulado de 167 durante los meses de enero a Junio. Estos procesos corresponden al segundo ciclo y pasaron a revisión de completitud y selección de pares.</t>
  </si>
  <si>
    <t>Al mes de abril se han renovado 46.161 subsidios de sostenimiento</t>
  </si>
  <si>
    <t>Al mes de abril se han adjudicado 989 subsidios de sostenimiento.</t>
  </si>
  <si>
    <t xml:space="preserve">No aplica para el periodo.  </t>
  </si>
  <si>
    <t>Al mes de marzo se han efectuado 5.770 giros de adjudicación de nuevos pilos y se han efectuado 5.759 giros de nuevos subsidios para Ser Pilo Paga.</t>
  </si>
  <si>
    <t>Se realizaron espacios de profundización de los materiales de Siempre Día E 2018 y tutorías con los facilitadores para resolver inquietudes sobre el acompañamiento in situ. Se continuó con el seguimiento del desarrollo de las sesiones virtuales a los facilitadores.</t>
  </si>
  <si>
    <t>Durante el mes de julio se realizó el cierre del convenio 1465 de 2017 (MEN-CUN) que contó para su ejecución con 301 Formadores Nativos Extranjeros en 295 Instituciones Educativas focalizadas por el programa Colombia Bilingüe.</t>
  </si>
  <si>
    <t>El avance de la meta se ajusta a la proyección de entrega de obras por parte de FFIE en donde el grueso será terminado en los últimos cuatro meses del año.</t>
  </si>
  <si>
    <t>El avance de la meta se ajusta a la proyección de entrega de obras por parte de FFIE en donde el grueso será terminado en los últimos meses del año.</t>
  </si>
  <si>
    <t>Durante el mes de agosto se llevo a cabo el tercer evento de forrmación centralizado al 100% de los formadores del programa, con el propósito de establecer las directicez y lineamientos pedagógicos y administrativos del ciclo de cierre</t>
  </si>
  <si>
    <t>No hay avance respecto al II trimestre. El seguimiento y monitoreo realizado por el MEN a corte 30/06/2018 y con base en los soportes contractuales enviados por 93 ETC se tiene un reporte de 640.680.384 raciones de PAE regular y PAE JU. Es necesario indicar que a corte 30/06/2018, no ha iniciado operación PAE en ETC Montería y Cartagena.</t>
  </si>
  <si>
    <t>Se realizaron visitas de asistencia técnica a las secretarias de educación de Sahagun, Turbo y Santa Marta; en el marco del plan de asistencia técnica de la subdirección. Se dio asistencia técnica por demanda a las Secretarias de educación de San Andres y Santander</t>
  </si>
  <si>
    <t>Se realizó taller Caminos hacia la Lectura y Escritura en Mocoa así como taller de formación con docentes en el Festival Epico en la ciudad de Barranquilla, este taller tuvo como objetivo el acompañamiento pedagógico en estrategias de lectura en voz alta y compartida</t>
  </si>
  <si>
    <t>Con corte a septiembre, el 100% de las ETC implementarion la política de bienestar</t>
  </si>
  <si>
    <t>Este indicador se cumplió en su totalidad durante el mes de febrero donde se realizó la entrega de libros de trabajo en inglés de la serie Way to GO! a grados 6, 7 y 8. Es decir se entregaron 201.626 libros a 370 establecimientos educativos focalizados por el programa Colombia Bilingüe</t>
  </si>
  <si>
    <t>En el mes de junio se construyeron 400 ítems, 200 de lenguaje y 200 de matemáticas para la segunda clasificatotira de Supérate con el Saber, para un total de  2.2121.858 estudiantes participantes</t>
  </si>
  <si>
    <t>Diseño y remisión del protocolo para el desarrollo de la actividad de movilización con estudiantes de sedes educativas focalizadas por la Fundación Global Humanitaria y la Fundación Círculo Abierto</t>
  </si>
  <si>
    <t>Definición franjas agenda evento central, análisis hojas de vida posibles conferencistas y panelistas. Movilización por redes sociales de los foros territoriales. Desarrollo nuevos contenidos edusitio, aplicativo de inscripciones participantes evento central</t>
  </si>
  <si>
    <t>Corresponde a la implementación de las sesiones de trabajo situado de ciclo II en los establecimientos educativos, así como a la continuación de acompañamientos en el aula en 2º, 3,º, 4º y 5º.</t>
  </si>
  <si>
    <t>754 docentes y directivos que participaron de procesos formativos en Inglés y Aulas sin Fronteras para su actualización.</t>
  </si>
  <si>
    <t>En el mes de septiembre, la nueva administración identificó unas mejoras en el material , lo cual deja en trámite modificación al contrato 936 de impresión</t>
  </si>
  <si>
    <t>Se realizaron en septiembre 41 asistencias técnicas presenciales; Financiero: 5 Proyectos Estratégicos: 6 Jurídico: 1 Monitoreo y control: 29</t>
  </si>
  <si>
    <t>En el periodo reportado se avanza en el seguimiento a la implementación de Preescolar Integral en las 11 ETC. Se realiza seguimiento a la suscripción de los convenios de la ETC Valle del Cauca y Perei… para mayor información ver el anexo “Reporte Consolidado Indicadores 2.018 – DPI Septiembre 2.018”</t>
  </si>
  <si>
    <t>Se encuentra en ejecución los contratos 961 y 962 con las firmas FIPC Alberto Merani y Asesoría y Gestión. Se anexa avance cualitativo del indicador, correspondiente al mes de septiembre.</t>
  </si>
  <si>
    <t>Se encuentra en ejecución el contrato 963 de 2018 con Unión Temporal Educando Colombia. Se anexa avance cualitativo del indicador correspondiente al mes de septiembre.</t>
  </si>
  <si>
    <t>Al cierre del mes de Septiembre,aún estan en proceso de validación proyectos de la convocatoria de Manos a la Escuela III. En la medida que hayan superado esta etapa se irán registrando en el reporte</t>
  </si>
  <si>
    <t>1. Respecto al documento de la estrategia de excelencia docente se realiza la revisión de la versión última enviada por CORPOEDUCACION que incluye los ajustes solicitados. Sobre la propuesta de diag… para mayor información ver el anexo “Reporte Consolidado Indicadores 2.018 – DPI Septiembre 2.018”</t>
  </si>
  <si>
    <t>El mes de agosto se avanzó en la entrega de 5.884.592 textos escolares en 18.737 sedes de 3.598 establecimientos educativos del País.</t>
  </si>
  <si>
    <t>En el mes de septiembre se realizaron AT, con el fin de socializar el contrato para el fortalecimiento de modelos educativos flexibles. Se anexa avance cualitativo.</t>
  </si>
  <si>
    <t>Durante el mes de septiembre mediante el contrato No 964 de 2018, con la firma E-Training, el cual tiene como avance de ejecución técnico el 44%, el cual corresponde al desarrollo de talleres en 6 ETC en temas de riesgo EMB, REC y ERM.</t>
  </si>
  <si>
    <t>Desde la Subdirección de Permanencia se realizó durante el mes de septiembre del 2018 asistencia técnica a las secretarías de educación.</t>
  </si>
  <si>
    <t>En septiembre se avanzó en la definición de una metodología para identificar el estado de avance de la articulación e implementación del MGEI, de las 71 SE focalizadas. De otro lado, se avanzó en la o… para mayor información ver el anexo “Reporte Consolidado Indicadores 2.018 – DPI Septiembre 2.018”</t>
  </si>
  <si>
    <t>Al mes de julio no se ha adjudicado la beca correspondiente a la convocatoria 2018 y se han realizado dos giros de renovación.</t>
  </si>
  <si>
    <t>Al mes de julio se han desembolsado 938 nuevos créditos para población indígena. El fondo tiene al 31 de julio 1.025 beneficiarios legalizados de la convocatoria 2018-1 y un total de aprobados de 2.909 de la convocatoria 2018-2.</t>
  </si>
  <si>
    <t>Al mes de julio se han efectuado 467 adjudicaciones por concepto de matrícula para población víctima y se han efectuado 450 adjudicaciones por concepto de sostenimiento para población víctima.</t>
  </si>
  <si>
    <t>Al mes de junio se desembolsaron 3.685 créditos susceptibles de recibir subsidio de tasa.</t>
  </si>
  <si>
    <t>Al mes de julio se han efectuado 8 nuevas adjudicaciones para población en condición de discapacidad.</t>
  </si>
  <si>
    <t>No se reportan avances en el presente trimestre. Al mes de junio no se han adjudicado nuevos créditos para población afrodescendiente, sin embargo, el fondo inició su proceso de legalización con el cual se ha logrado para el cierre de junio un total de 305 beneficiarios legalizados.</t>
  </si>
  <si>
    <t>Al mes de julio se han adjudicado 5 nuevos créditos para población RROM.</t>
  </si>
  <si>
    <t>Al mes de julio se efectuaron 7.495 renovaciones para población afrodescendiente.</t>
  </si>
  <si>
    <t>No se reportan avances en el presente trimestre. Al mes de junio no se han adjudicado nuevos créditos para maestros.</t>
  </si>
  <si>
    <t>No se reportan avances en el presente trimestre. Al mes de junio se han efectuado 38 condonaciones a mejores Saber Pro.</t>
  </si>
  <si>
    <t>Al mes de julio se renovaron 8.533 créditos para médicos.</t>
  </si>
  <si>
    <t>No se reportan avances en el presente trimestre. Al mes de junio se renovaron 73.017 créditos con subsidio de tasa.</t>
  </si>
  <si>
    <t>No se reportan avances en el presente trimestre. Al mes de junio se renovaron 721 créditos para maestros.</t>
  </si>
  <si>
    <t>Recurso en trámite de liberación. Estos recursos serán orientados a la nueva estrategia de acceso.</t>
  </si>
  <si>
    <t>Analizar el modelo de datos y de los procesos del SPADIES para avanzar hacia el proceso de integración con SNIES. Contrato con SOFINSER</t>
  </si>
  <si>
    <t>Al mes de julio no se han otorgado nuevas becas para maestría y doctorado y se renovaron 38 becas para maestría y doctorado.</t>
  </si>
  <si>
    <t>Al mes de julio se efectuaron 3.713 renovaciones para población indígena.</t>
  </si>
  <si>
    <t>Se realizó el encuentro de IES acreditadas, con el fin de propiciar un encuentro con los rectores de las IES para escuchar sus problemáticas, sugerencias o propuestas, en torno a las mejoras de la educación superior del país. A la fecha se cuenta con 91 IES</t>
  </si>
  <si>
    <t>Se recibieron 19 solicitudes para un acumulado de 300 en lo corrido del año. Estos procesos se encuentran en preselección de pares.</t>
  </si>
  <si>
    <t>Al mes de julio se han renovado 58.285 subsidios de sostenimiento.</t>
  </si>
  <si>
    <t>Al mes de julio se han adjudicado 3.037 subsidios de sostenimiento..</t>
  </si>
  <si>
    <t>Este indicador no se cumplirá; se solicitó reducción de la meta a 0</t>
  </si>
  <si>
    <t>No se reportan avances en el presente trimestre. Al mes de junio se han efectuado 5.948 giros de adjudicación de nuevos pilos y e han efectuado 5.798 giros de nuevos subsidios para Ser Pilo Paga.</t>
  </si>
  <si>
    <t>Al mes de septiembre se han efectuado 1.207 adjudicaciones.
Se desembolsaron 469 créditos para sostenimiento y se renovaron 4.472 créditos para población víctima. Por instrucción del MEN, se utilizaron los saldos disponibles del año 2017 de este fondo y se ha logrado otorgar mas créditos para la población victima.</t>
  </si>
  <si>
    <t>Al mes de septiembre se han adjudicado 3.705 subsidios de sostenimiento. A la fecha se encuentran giros con estado rechazado por inconsistencias con el medio de pago.</t>
  </si>
  <si>
    <t>Al mes de septiembre se han renovado 88.657 subsidios de sostenimiento. A la fecha se encuentran giros con estado rechazado por inconsistencias con el medio de pago.</t>
  </si>
  <si>
    <t>Al mes de septiembre se han efectuado 24 nuevas adjudicaciones para población en condición de discapacidad. Por instrucción del MEN, se utilizaron los saldos disponibles del año 2017 de este fondo y se ha logrado otorgar mas créditos para la población en condición de discapacidad.</t>
  </si>
  <si>
    <t>Al mes de septiembre se han desembolsado 970 nuevos créditos para población indígena. El fondo tiene al 30 de septiembre 2.866 beneficiarios legalizados de las convocatorias 2018-1 y 2018-2.</t>
  </si>
  <si>
    <t>Al mes de septiembre se efectuaron 6.492 renovaciones para población indígena.</t>
  </si>
  <si>
    <t xml:space="preserve">Al mes de septiembre no se han desembolsado nuevos créditos para población afrodescendiente, sin embargo, el fondo inició su proceso de legalización con el cual se ha logrado para el cierre de septiembre un total de 352 beneficiarios legalizados. </t>
  </si>
  <si>
    <t>Al mes de septiembre se efectuaron 11.239 renovaciones para población afrodescendiente.</t>
  </si>
  <si>
    <t>Al mes de septiembre se han adjudicado 10 nuevos créditos para población RROM. Por instrucción del MEN, se utilizaron los saldos disponibles del año 2017 de este fondo y se adjudicaron nuevos créditos para los periodos 2018-1 y 2018-2, cada uno de estos periodos con un cupo de 5 beneficiarios. Al mes de septiembre se han efectuado 30 renovaciones para ésta población.</t>
  </si>
  <si>
    <t>Al mes de septiembre se han efectuado 5.026 condonaciones del 25%.</t>
  </si>
  <si>
    <t>Al mes de septiembre se han desembolsado 79 nuevos créditos a los mejores bachilleres. 
Se adjudicó la Beca  "Omaira Sánchez" 
Se efectuaron 6 renovaciones de la Beca "Jóvenes ciudadanos de Paz"</t>
  </si>
  <si>
    <t>Al mes de septiembre se renovaron 782  subsidios a los mejores bachilleres.</t>
  </si>
  <si>
    <t xml:space="preserve">Al mes de septiembre no se han otorgado nuevas becas para maestría y doctorado y se efectuaron 52 renovaciones. </t>
  </si>
  <si>
    <t>Al mes de septiembre no se ha adjudicado la beca correspondiente a la convocatoria 2018 y se han realizado 4 giros de renovación.</t>
  </si>
  <si>
    <t>*Al mes de septiembre se han efectuado 7.149 giros de adjudicación de nuevos pilos.
*Se han efectuado 7.070 giros de nuevos subsidios para Ser Pilo Paga.
* Se han efectuado 28.609 giros de renovación por concepto de matrícula de Ser Pilo Paga.
* Se han realizado 28.589 giros de renovación a beneficiarios del Subsidio de Sostenimiento del programa Ser Pilo Paga.</t>
  </si>
  <si>
    <t xml:space="preserve">Al mes de septiembre no se han adjudicado nuevos créditos para maestros. ICETEX se encuentra a la espera de que el Ministerio de Educación Nacional defina el numero de adjudicados para el 2018. </t>
  </si>
  <si>
    <t>Al mes de septiembre se renovaron 3.617 créditos para maestros.</t>
  </si>
  <si>
    <t xml:space="preserve">Al mes de septiembre se han efectuado 83 condonaciones a mejores Saber Pro. </t>
  </si>
  <si>
    <t>Al mes de septiembre se han desembolsado 10.398 créditos susceptibles de recibir subsidio de tasa.</t>
  </si>
  <si>
    <t>Al mes de septiembre se renovaron  130.884 créditos con subsidio de tasa.</t>
  </si>
  <si>
    <t xml:space="preserve">Se situaron a través del PAC  $315.468.884.108  para disminución de la tasa de interés. </t>
  </si>
  <si>
    <t>Al mes de septiembre se renovaron 8.622 créditos para médicos.</t>
  </si>
  <si>
    <t>Elaboración de matriz con los gastos promedio por etapa de la cadena de valor, con base a la información de gastos proyectada en el antperoyecto de presupuesto para la vigencia 2018</t>
  </si>
  <si>
    <t>En este trimestre se hicieron adelantos con respecto al motor adaptativo de las 5 subpruebas que componen la prueba PreSaber, lo que permitió el cumplimiento total del indicador de la actividad. Así mismo, en el marco de la asesoría del consultor internacional, se realizó  un taller de dos días en el mes agosto dirigido al personal de las tres subdirecciones de la Dirección de Evaluación en el cual se abordó el tema de Pruebas Adaptativas y TRI (Teoría de respuesta del ítem).
Cabe resaltar, que se acordó con la OAP realizar un ajuste en cuanto a las actividades establecidas para el proyecto como tal, teniendo en cuenta que no se alcanzarían a tener todas la condiciones necesarias para efectuar el piloto de manera efectiva en agosto; de esta forma se estableció que en el mes de febrero de 2019 se realizará la aplicación piloto de esta prueba adapatativa, logrando en este tiempo  mejorar aspectos técnicos del CAT-Icfes tales como la inclusión de servicios (recordar examinado, recordar ítem, puntaje global al final de la prueba, carga de items desde el inicio), y de la plataforma Plexi.</t>
  </si>
  <si>
    <t xml:space="preserve">Se realizó la calificación de las pruebas Saber 3,5,9 -2017 y  Saber Pro y TyT 2017-3, aplicando la metodología de calificación de 3PL, como se estableció a partir del año 2016. 
</t>
  </si>
  <si>
    <t xml:space="preserve">• Publicación de Informes de resultados de 2013 a 2015 de Factores Asociados: esta actividad ya no es posible realizarla debido a falta de información para poder comparar los datos históricos de esos años.
• Publicación de informe de Escuelas Efectivas: Para esta actividad realizamos el informe a partir de dos documentos y una revisión bibliográfica al rededor del área de Eficacia Escolar, así: 1 documento entregado por Ernesto Treviño de la Universidad de Chile, 2. Nota técnica del documento mencionado en el punto 1, de donde se recuperaron las líneas de regresión que no se apreciaban en el documento, 3. Revisión bibliográfica sobre el desarrollo de estudios de Eficacia Escolar,4. Diagramación del documento, 5 Y finalmente una revisión de estilo.
• Cuestionario de factores asociados para evaluación formativa por estudiante, docente y rector: Realizamos el pilotaje de los cuestionarios de Factores Asociados de los estudiantes en tres ciudades del país (Neiva, Quibdó, y Bogotá) con el fin de identificar datos pertinentes para establecer las escalas de calificación. 
• Adicionalmente realizamos el prototipo de reporte de resultados de FA, en el que se incluyen los escenarios propuestos por la Subdirección de Diseño de Instrumentos.
• También editamos los ítems en Prisma correspondientes a factores asociados para estudiantes y su respectiva validación en banco de ítems.
</t>
  </si>
  <si>
    <t>En el tercer trimestre del año, se realizó la aplicación de las pruebas Saber 11 Insor para 332 estudiantes y la prueba de Ascenso para Mayores de la Policía Nacional con 150 evaluados.
Se finalizó el desarrollo de los requerimientos para garantizar la presentación de las demás pruebas a aplicar en segundo semestre del año, que corresponden a: 
1. Avancemos 4°, 6° y 8° (2da. aplicación)
2. Saber PRO y Saber TyT en el exterior 
Así mismo, se continúa trabajando en los requerimientos para las pruebas del proximo año.</t>
  </si>
  <si>
    <t>Durante el tercer trimestre se actualizo la información relacionada con Procedimiento y Caracterización, se incluyó una Guía de Seguimiento y Control de Cronogramas de Actividades y se ajustaron otros formatos. Por otro lado, se complementa y actualiza la información del Documento denominado Modelo de Negocios y se realiza una socialización con el equipo de trabajo, ajustando contenidos y presentándolo para revisión y aprobación al jefe de la OAP.</t>
  </si>
  <si>
    <t xml:space="preserve">Seguimiento quincenal a las investigaciones que se adelantan en la OAGPI y presentación de algunas investigaciones a la Dirección General. </t>
  </si>
  <si>
    <t>Se ha brindado asistencia técnica a 219 entidades de la administración pública en implementación y/o mejoramiento de procesos para el goce efectivo de los derechos de las personas con discapacidad visual. Cabe resaltar que para considerar a una entidad asistida técnicamente tiene que cumplir con criterios de asesoría y/o cualificación, acompañamiento y dotación de material especializado</t>
  </si>
  <si>
    <t>Se realiza producción de unidades para clientes externos e impresos aprobados por subdirección
Ya se ajustó la meta del proyecto Mejoramiento de la calidad, cobertura y sostenibilidad de la dotación de material para estudiantes con discapacidad visual a Nivel Nacional relacionada con la producción de libros y textos en formatos accesibles en 300.000</t>
  </si>
  <si>
    <t>Se cuenta con 8236 libros digitales accesibles producidos durante la presente vigencia</t>
  </si>
  <si>
    <r>
      <t xml:space="preserve">Se han realizado </t>
    </r>
    <r>
      <rPr>
        <b/>
        <sz val="16"/>
        <rFont val="Calibri"/>
        <family val="2"/>
        <scheme val="minor"/>
      </rPr>
      <t>2009</t>
    </r>
    <r>
      <rPr>
        <sz val="12"/>
        <rFont val="Calibri"/>
        <family val="2"/>
        <scheme val="minor"/>
      </rPr>
      <t xml:space="preserve"> descargas de libros digitales accesibles de la biblioteca virtual para personas con discapacidad visual hasta el momento</t>
    </r>
  </si>
  <si>
    <t>Durante el tercer trimestre se desarrollaron 39 asesorías para un acumulado del año de 86 asesorias; de las cuales se destacan 27 asesorias sobre proceso implementación del decreto 1421 de 2107 a las secretarías de edcucación de Riohacha, San Andres, Pitalito,  Quindío, Piedecuesta, Rionegro, Chía, Cajicá, Montería,  Yopal,  Valledupar, Cesar, Putumayo, Tulua, Armenia, Neiva, Medellin, Duitama, Bogotá, Uribia, Quibdó, Apartadó, Cartagena, Bolívar. Cúcuta, Bucaramanga, Villavicencio.Adicionalmente se hizo Asesoria a SED Cundinamarca para la organizacion de la oferta e diseño de modelo para educacion rural  a través de Asistencia Tecnica a Institución Educativa Ernesto Aparicio Jaramillo La Mesa, A a IEDR Casadillas Bajo Machetá, IED José De San Martí­n y Sede Camilo Torres Tabio,  José María Obando  -El Rosal. ENS San bernardo y Ubaté.Tambíen se desarrolló Asesoria y asistencia técnica a San Ignacio del Oyola - Operador ICBF,   Colegio Republica de Panama,Asociacion de padres y amigos de los sordos del Perú, Ministerio de Educacion del Peru,  y a  Secretaria de educación Escuela normal superior y  Asociación de sordos, sobre educación formal de adultos.</t>
  </si>
  <si>
    <t>Se avanzó en un conjunto de acciones para complementar el documento de acuerdo a la retroalimentación realizada correspondientes a los aportes de las acciones realizadas en el acompañamiento a las secretarias de educación focalizadas (Neiva, Ibagué, Villaviencio, Ibagué, Cúcuta, Bucaramanga, Barranquilla, Cartagena y Medellín; los resultados de la implementación del modelo bilingue de atencion a la primera infancia sorda, primera infancia, educación superior, planeación lingüística, contenidos educativos accesibles  y ajustes razonables alas pruebas saber 1. En este periodo se continuan haciendo acciones que alimentan el desarrollo del documento consolidado de la estrategia integral para el mejoramiento de la calidad educativa de la población sorda y se hace un ajuste en la organización y estructura de los apartados realizados previamente.</t>
  </si>
  <si>
    <t>Se avanzó en el desarrollo de procesos de asesoría y asistencia técnica para la inclusion de poblacion sorda en 16 Instituciones de Educación Superior o formación para el trabajo y el desarrollo humano entre las que se tienens Universidad Nacional de Antioquia, 
de Córdoba, Nacional de Manizales, Fundación FANDIC; Autónoma de Bucaramanga, Metropolitana de Barranquilla;  Fundación Universitaria San Alfonso; Unidades Tecnológicas de Santander; Universidad Central; de las Américas; CES; de Cundinamarca; El Bosque;  de Santander - UDES; Distrital Francisco José de Caldas y la Escuela de Formación en Salud y Administración.
Adicionalmente se avanzó en la estructuración de los contenidos del documento de criterios para la inclusion de los estudiantes sordos a la educación superior, el cual hce parte de  la estrategia de atencion integral para el mejoramiento de la calidad educativa de la población sorda</t>
  </si>
  <si>
    <t>Se finalizó la elaboracion de los cuatro ajustes razonables a la s pruebas Saber 11 relacionados con la traducción, videogracion y edición con incorporacion de apoyos visuales de los items aprobados para las puebeas de Ciencias Naturales, Ciencias Sociales y Competencias Ciudadanas y  Matemáticas, Se realizó  acompañamiento y asesoria a las IE y estudiantees sordos para la aplicación de las pruebas SABER 11 para personas Sordas.
Se realizó gestión y acompañamiento a estudiantes sordos con dificultades en la inscripción y citación de la prueba.
Se realizaron dos videoconferencias de orientaciones para el desarrollo de la prueba Saber 11. 
Adicionalmente frente a la producción de contenidos educativos accesibles la producción avanzó en: 
22 Clases en vivo
1 Corto
8 Lecciones de módulos
Total segundo trimestre: Elaboración de 31 contenidos educativos accesibles. Con esto se completa la meta propuesta al 100%</t>
  </si>
  <si>
    <t xml:space="preserve">Se adelantó un documento de orientaciones para la apertura y gestión de programas de formación de intérpretes en Instituciones de Educación Superior -IES en el marco de la estrategia integral de mejoramiento de la calidad educativa de las personas sordas, el cual está en proceso de retroalimentación para ajustes finales. </t>
  </si>
  <si>
    <t xml:space="preserve">El comportamiento del servicio de credito del FODESP indica que el mayor volumen de sollicitudes se atienden en el cuarto trimestre </t>
  </si>
  <si>
    <t xml:space="preserve">Se da cumplimiento a las actividades programadas para el tercer trimestre del año </t>
  </si>
  <si>
    <t>La actividad se cumplio en el primer trimestre</t>
  </si>
  <si>
    <t xml:space="preserve">Se realizaron as actividades programadas para la realización de las jornadas de rendición de cuentas frente al Consejo de Administración  y Junta de Vigilancia </t>
  </si>
  <si>
    <t>Se realizaron as actividades programadas para la realización de las jornadas de rendición de cuentas frente a los comites</t>
  </si>
  <si>
    <t>Se realizaron las actividades proyectadas  la participación  en eventos de defensade FODESEP.</t>
  </si>
  <si>
    <t>Se dio cumplimienot en el trimestre anterior</t>
  </si>
  <si>
    <t>Se avanza de acuerdo a lo programado para el desarrollo de las actividades .</t>
  </si>
  <si>
    <t>Actividad cumplida en el trimestre anterior</t>
  </si>
  <si>
    <t>Se obtuvo la visita de pares académicos parra 11 programas de educiaciión de la entidad, ya se está a la espera de los tiempos y procedimientos correspondientes al CNA.</t>
  </si>
  <si>
    <t>Se realizó la caracterización de estudiantes de bachillerato y padres de familia, se está trabajando en la caracterización de estudiantes de programas de educación superior</t>
  </si>
  <si>
    <r>
      <t xml:space="preserve">Este avance del 100% esta representado: 1) Mediante resolución 11935 y 11936 se le otorgo </t>
    </r>
    <r>
      <rPr>
        <b/>
        <sz val="10"/>
        <rFont val="Arial"/>
        <family val="2"/>
      </rPr>
      <t>el registro calificado a los programas  Técnica Profesional Operación de Sistemas de Manejo Ambiental  y Tecnología en Gestión Ambiental, y estan registrado el SNIES con los codigos .107336y. 107336respectivamente; 2)Se tiene registrado  en el SACES el nivel profesional  del area de contabilidad;3)Se tiene registrado en el saces el programa Tecnologia en Gestión de la Seguridad Industrial y Salud en el Trabajo; 4)e tiene registrado en el saces el programa el programa Tecnologia el la Gestión en la produción Agoindustrial de Alimentos.</t>
    </r>
  </si>
  <si>
    <t xml:space="preserve">Este avance del 75% está representado:1)  En la realización de talleres a los estudiantes en las competencias que se  evaluan en las pruebas Saber Pro; 2) Se realizo un taller sobre competencias que se  evaluan en las pruebas Saber Pro a los docentes coordinadores de los campos de formación; 3) Se establecio y ejecuto el calendario interno saber Pro, como se puede apreciar en la pagina Weeb en el link </t>
  </si>
  <si>
    <r>
      <t>Este avance del 100%  está representado:  En las diecidietes sesiones que se realizaron -en este trimestre -del diplomado que se viene llevando acabo sobre "</t>
    </r>
    <r>
      <rPr>
        <b/>
        <sz val="10"/>
        <rFont val="Arial"/>
        <family val="2"/>
      </rPr>
      <t>metodologia y técnica de estadistica de investigación"(</t>
    </r>
    <r>
      <rPr>
        <sz val="10"/>
        <rFont val="Arial"/>
        <family val="2"/>
      </rPr>
      <t xml:space="preserve"> contrato 042 del 2018) que tiene como proposito "fortalecer las competencias investigativas del cuerpo docente del INFOTEP para apoyar la condición de investigación en los proceso de acreditación y registro calificado  de los programas"</t>
    </r>
  </si>
  <si>
    <t xml:space="preserve">Este avance del 100%  está representado en que superamos la meta de seis (6) instituciones articuladas , en la actualidad contamos con siete (7). Ademas se vienen desarrollando algunas actividades complementarias a lo academico como:  </t>
  </si>
  <si>
    <t xml:space="preserve">Este avance del 85% está representado:1)  En la participación de los grupos de investigación, con dies (10) proyectos , en el encuentro latiamericano de joves investigadores , realizado en la ciudad de valledupar los días  …..2) Se realizó un ciclo de capacitación en revistas indexadas del 9 al 17 de septiembre. </t>
  </si>
  <si>
    <t>En el 3 trimestre el número total de estudiantes fue de 87 discriminados así : (creole)25; diseño de productos turisticos:21 Seminario de investigación en sociedades de la co creacion 9; taller: Arte y Pintura Tradicional Isleña con Material Reciclable:7  Y 25 Primera Infancia</t>
  </si>
  <si>
    <t>Se ejecutaron dos estrategia  una dirigida al foro de primera infancia y otra  a la actividad denominada dialogando con al comunidad; Las    campañas de divulgación realizadas fueron 9:   Seminario diseño de productos turisticos,Taller de pintura Isleña, 2 mesas de trabajo dialogando con la comunidad en condición de discapacidad,  cursos de creole, Ceremonia de certificación de estudiantes AIPI,  reunión de coordinadores de extensión de la región caribe en Barranquilla, Foro realidades y retos en la primera infancia, Feria de resultados de primera infancia</t>
  </si>
  <si>
    <t>Para el tercer trimestre se realizó alianza con el ICBF para las mesas de trabajo Dialogando con la comunidad para cuidadores de personas en condición de discapacidad</t>
  </si>
  <si>
    <t xml:space="preserve">Se realizaron reuniones periódicamente  para fortalecer los proyectos generados y liderados por el semillero de investigación. Se desarrollaron actividades de campo comprendidas en el ejecución de un proyecto de investigación.El Semillero de Investigación participó en talleres sobre diseño de productos turísticos, gestión del conocimiento, entre otros. </t>
  </si>
  <si>
    <t>El grupo de investigación asistió al encentro de innovación de ACIET.-Medellin. El grupo de Investigación participó en talleres sobre diseño de productos turísticos, gestión del conocimiento, entre otros.</t>
  </si>
  <si>
    <t>Participación del Semillero y Grupo de Investigación en Expociencia.</t>
  </si>
  <si>
    <t>Participación en las actividades desarrolladas por la Red de Emprendimiento Depaertamental.</t>
  </si>
  <si>
    <t>Ya se realizó la contratación de un aliado para la creación de la nueva oferta académica. La cual ya se encuentra registrada en el SACES, con fecha de visita de pares para noviembre.</t>
  </si>
  <si>
    <t>Hay convenios marco con varias IES pero aún no se ha concretado ofertas de programas de pregrado y posgrado.</t>
  </si>
  <si>
    <t>En alianza con la red Colombiana de Internacionalización Nodo caribe, se capacitó a un Docente de Planta en Resolución de Conflictos para comunidades vulnerables con el apoyo de la Universidad de Sallisbury.</t>
  </si>
  <si>
    <t xml:space="preserve">Durante el tercer trimestre 2018 desde el área de bienestar se han realizado las siguientes actividades orientadas a Implementar el Plan de Acceso permanencia y graduación: Adquisición de camisetas institucionales, USB y adquisición de las agendas institucionales,continuan los seguimiento a los casos de posibles deserciones, practicas y presentación del grupo de danzas tipicas y contemporaneas institucional. </t>
  </si>
  <si>
    <t xml:space="preserve">Entre las actividades desarrolladas por bienestar durante este trimestre estan: Taller "Planificación familiar", taller sobre prevención del alcoholismo y drogadicción, cine - foro, desarrollo de un taller de arte y pintura, Atención y primeros auxilios a la comunidad, brigadas de vacunación, caminatas deportivas, Practicas deportivas. </t>
  </si>
  <si>
    <t xml:space="preserve">El contrato de mantenimiento del gimnasio se esta ejecutando actualmente. </t>
  </si>
  <si>
    <t xml:space="preserve">En este trimestre se adelantan las acciones para la compra de elelentos para el área del gimnasio, la compra de trajes tipicos, desarrollo de  talleres y actividades desde el área de salud y desde el area de seguimiento a posibles deserciones. </t>
  </si>
  <si>
    <t>En este trimestre se realizaron las siguientes actividades: prevención del alcoholismo y la drogadicción,  live on friday (recreación y deporte y un cine foro) como estrategia para el desarrollo humano, desarrollo del taller de arte y pintura isleña, taller de matemáticas, socialización de la ruta de atención para víctimas de violencia de género</t>
  </si>
  <si>
    <t>Participación de 3 funcionarios de la institución en actividad académica denominada VIII Simposio Internacional de Investigación Técnica, Profesional, Tecnológica y Universitaria</t>
  </si>
  <si>
    <t>Se desarrolla toda la etapa contractual para la creación y oferta de intercambio cultural internacional, el cual estará enfocado en la cultura escrita: TALLER MEK WI RAYT WI LANGWICH, ALFABETO DEL CRIOLLO LIMONENSE. Será desarrollado en el marco de la semana cultural INFOTEP en el mes de Octubre</t>
  </si>
  <si>
    <t>Capacitación a un docente y al profesional especializado de extensión en “Academic peace leaders for problem solving and conflict resolution for vulnerable communities” por parte de la Universidad Salisbury  y asistencia a la 5ta Reunión del año del Nodo Caribe de la Red Colombiana para la Internacionalización de la Educación Superior (RCI),</t>
  </si>
  <si>
    <t>Se generó contacto con la Oficina de proyectos y cooperacion externa de la Universidad Nacional de Ingeniería de Nicaragua, quienes están interesados en conocer detalles del creole dentro del currículo</t>
  </si>
  <si>
    <t>Se visitó a la Uniremington en medellín, promocionando la inmersión del centro de lenguas. Se contrató una empresa para la expedición de los tiquetes para promocionar el centro de lenguas. Se imprimieron  flyers para la inmersión del centro de lenguas y cultura</t>
  </si>
  <si>
    <t>Se realizó la celebración del dia de la lengua materna. Se participo en el més de abril en el Ciclo de Conferencias del Campo Profesional e Investigativo, del departamento de lenguas en la UCEVA TULÚA, al igual que en el més de junio, se participó en el immersion day en el mes de Junio en la UCEVA de Tulúa se realizarón las vacaciones recreativas con enfasis en inglés con un total de 21 niños, siendo el programa todo un exito.</t>
  </si>
  <si>
    <t>Se contrató a la docente de danzas para la implementación del grupo de danzas del infotep, logrando abrir un grupo de danzas conformado por funcionarios y estudiantes. Se contrató un profesor de inglés y creole para dictar clase en el centro de lenguas , se lograrón abrir 4 cursos de inglés. Se contrató a un profesional especializado en lenguas, hasta el mes de diciembre, en el segundo semestre en el mes de agosto se abrio el curso de creole con 25 estudiantes.</t>
  </si>
  <si>
    <t>El contrato ya fue adjudicado y se está esperando la entrega de los uniformes.</t>
  </si>
  <si>
    <t>Corresponde al contrato de dotacion de la cocina. Ya se entregaron los estudios previos y se tiene CDP</t>
  </si>
  <si>
    <t>Corresponde al contrato del personal a cargo del mantenimiento de los equipos. ( 10 meses). Proximo a finalizar.</t>
  </si>
  <si>
    <t>Pertenece al proceso de apoyo logístico.</t>
  </si>
  <si>
    <t>Se realizó dentro del proceso de cocina.</t>
  </si>
  <si>
    <t>El proceso con los padres de familia se ha llevado a cbo de acuerdo con la programación</t>
  </si>
  <si>
    <t>Corrresponde al contrato de la profesional en psicologia del Proyecto. (10 meses). Ya se encuentra finalizando</t>
  </si>
  <si>
    <t>Ya esta finalizando el proceso de entrega de los bonos a los estudiantes.</t>
  </si>
  <si>
    <t>El evento grande de esta actividad es la Feria De Resultados de Articulación se realiza en el marco de la Semana Cultural de la Institución.</t>
  </si>
  <si>
    <t>Se recibio informe el dia 29 de junio de 2018, con concepto del CNA, donde nose le otorgaron a la institución las condiciones iniciales, para inscripción al sisitema nacional de acreditación, la recomendación fue elaborar un plan de mejoramiento basado en las recomendaciones propuestas por el CNA, por tanto se elaboró plan de mejoramiento pendiente por aprobar por el Consejo Académico y ejecución del mismo en un plazo de un año y medio a dos años</t>
  </si>
  <si>
    <t>Ala fecha de corte  se han matriculado 676 estudiantes de nuevo ingreso en los diferentes programas técnico profesionales.</t>
  </si>
  <si>
    <t>Ala fecha de corte  se han matriculado 2027 estudiantes en los diferentes programas técnico profesionales.</t>
  </si>
  <si>
    <t>Las condiciones de calidad para la nueva oferta de 10 programas por ciclos propedéuticos se encuentran elaboradas, y validadas. Falta proceso de cargue en plataforma SACES</t>
  </si>
  <si>
    <t>Se aplicaron los diferentes instrumentos de medición y evaluación del proceso de autoevaluación institucional, se elaboro informe, plan de mejoramiento y fue socializado a la comunidad</t>
  </si>
  <si>
    <t>En el trimestre semestre académico del año 2018 se han matriculado 346 estudiantes.</t>
  </si>
  <si>
    <t>A la fecha de corte se han ejecutado el 76% de los recursos de inversión, este nivel de inversión se debe al cupo PAC asignado.</t>
  </si>
  <si>
    <t>Para la vigencia 2019 se formularon 2 nuevos proyectos de inversión, los cuales se realizaron con la nueva metodología de cadena de valor con los nuevos programas presupuestales de 2019.</t>
  </si>
  <si>
    <t>Se definió nuevo coordinador de investigación, se reformulo plan de trabajo el cual presenta avances del 50% de lo planeado hasta finalizar la vigencia</t>
  </si>
  <si>
    <t>a la fecha de corte se ha ejecutado el 70% del plan establecido para la internacionalización los programas técnicos profesionales</t>
  </si>
  <si>
    <t>Cumplimiento por Entidad (Ejecutado/Planeado)</t>
  </si>
  <si>
    <t>Promedio de la Dimensión de Talento Humano</t>
  </si>
  <si>
    <t>Promedio de la Dimensión de Direccionamiento Estrategico</t>
  </si>
  <si>
    <t>Promedio de la Dimensión de Valores para Resultados</t>
  </si>
  <si>
    <t>Promedio de la Dimensión de Evaluación de Resultados</t>
  </si>
  <si>
    <t>Promedio de la Dimensión de Información y Comunicación</t>
  </si>
  <si>
    <t>Promedio de la Dimensión de Gestión del Conocimiento</t>
  </si>
  <si>
    <t>Promedio de la Dimensión de Control Interno</t>
  </si>
  <si>
    <t>DIMENSIONES</t>
  </si>
  <si>
    <t>Talento Humano</t>
  </si>
  <si>
    <t>Direccionamiento Estratégico</t>
  </si>
  <si>
    <t>Valores para resultados</t>
  </si>
  <si>
    <t>Evaluación de resultados</t>
  </si>
  <si>
    <t>Información y Comunicación</t>
  </si>
  <si>
    <t>Gestión del Conocimiento</t>
  </si>
  <si>
    <t>Porcentaje de HV cargadas en el SIGEP</t>
  </si>
  <si>
    <t>Presentación de la metodología de costeo consolidada.</t>
  </si>
  <si>
    <t>En el desarrollo cuarto trimestre, el 6 de diciembre en el marco del evento de balance de la Dirección de Evaluación se realizó la socialización del proyecto a todos los equipos de sus subdirecciones, así como en las instalaciones del Icfes al equipo de la Oficina Asesora de Gestión de Proyectos de Investigación y al personal de la Dirección de Tecnología e Información.
Desde la DTI se adelantaron las actividades de almacenamiento de tiempos de respuesta de los examinados, implmentacióndel uso de plexi del servicio recordarExaminado, el desarrollo de interfaz para presentar el puntaje global de las pruebas y llamar el servicio puntajeTotal y la verificación con Banco de ítems la disponibilidad de los mismos para desarrollar  las pruebas de carga.
Desde la SE, se definió el tamaño de la muestra para la realización del piloto, la definición de ítems nuevos que serán incluidos en el pool de ítems y se ajustó el cálculo del puntaje global por redondeo de puntajes por prueba.
Así las cosas, se da cumplimiento a la actividad enfocada a la etapa de diseño y planeación del proyecto estratégico, en el marco de la búsqueda de innovación en los procesos técnicos y tecnológicos para la evaluación de la educación por emdio de un test adaptativo.
Cabe resaltar que los diferentes documentos entregados en la ejecución del proyecto se encuentran en el repositorio de la SE: http://192.168.147.73:8081/administrador/icfesAdaptative y en la carpeta compartida de de Drive: https://drive.google.com/drive/folders/1p1N6qTWgfptRfqOOTAWVpRQzhqBwaqas 
Para la vigencia 2019 se tiene proyectado finalizar el 20% restante del proyecto piloto de pruebas adaptativas para el examen Presaber 2019 y producir informes del análisis del funcionamiento diferencial de las pruebas entre papel, electrónica y CAT.</t>
  </si>
  <si>
    <t>Se procedió a realizar la calificación de Saber Pro y TyT, Pro exterior, TYT Exterior, TyT extemporáneo, Pro Extemporáneo, junto con Saber 11 2018-2, Vlidantes Y Pre Saber con la metodología de 3PL.</t>
  </si>
  <si>
    <t>• Reporte histórico por ETC_ Saber 11: Se realiza el análisis para observar las implicaciones de realizar un reporte histórico de los resultados de la prueba Saber 11, agregando la información de ambas aplicaciones de un año especifico en un resultado agregado para Etc., Municipios y Secretarias.
• Informes de factores asociados para la Evaluación Formativa: Construcción de los textos que acompañan la sección de resultados del reporte; revisión y ajuste de los textos incluidos en la sección de escenarios y sugerencias pedagógicas; construcción de los textos que acompañan los cuadrantes de escenarios.
• Continuar con la publicación de los documentos de características del aprendizaje por ETC y el agregado nacional: Se generaron propuestas de reportes para 3 temas específicos: Ambiente en el aula. Seguimiento al Aprendizaje. Acciones y Actitudes 2. Se creó el algoritmo de automatización para que cada ETC tenga su propio reporte.</t>
  </si>
  <si>
    <t xml:space="preserve">En el cuarto trimestre del año, se realizó la aplicación de las siguientes pruebas:
1. Avancemos 4°, 6° y 8° (2da. aplicación)
2. Prueba de comunicación escrita para el examen Saber Pro en el exterior presentada por 1207 estudiantes. 
3. Saber Pro extemporánea en la cual se presentaron 608 estudiantes de educación superior. </t>
  </si>
  <si>
    <t>Presentación del Documento de Modelo de Negocios del Instituto final.</t>
  </si>
  <si>
    <t>Como resultado de la Agenda de Investigación definida desde la Oficina de Investigaciones, se  publicaron dos documentos de investigación y otros dos informes de investigación fueron entregados como resultado de proyectos desarrollados desde el Icfes en convenio con otras entidades. Asimismo, tres proyectos de investigación desarrollados en la Oficina de Investigaciones fueron presentados en el Seminario Internacional del Icfes. Finalmente, la Oficina fue invitada a participar en un evento académico internacional sobre provisión de información para políticas públicas.</t>
  </si>
  <si>
    <t>Se ha brindado asistencia técnica a 283 entidades de la administración pública en implementación y/o mejoramiento de procesos para el goce efectivo de los derechos de las personas con discapacidad visual. Cabe resaltar que para considerar a una entidad asistida técnicamente tiene que cumplir con criterios de asesoría y/o cualificación, acompañamiento y dotación de material especializado</t>
  </si>
  <si>
    <t>Se realizó la producción de  387695 unidades producidas para clientes externos y 18512  impresos aprobados por subdirección</t>
  </si>
  <si>
    <t xml:space="preserve">Se cuenta con 10936 libros digitales accesibles producidos durante la presente vigencia </t>
  </si>
  <si>
    <t>Se han realizado 3005 descargas de libros digitales accesibles de la biblioteca virtual para personas con discapacidad visual hasta el momento</t>
  </si>
  <si>
    <t>Se da cumplimiento a las actividades programadas para el segundo trimestre, según lo programado en el Plan de Accion Institucional</t>
  </si>
  <si>
    <t xml:space="preserve">En TOTAL, durante el año 2019 se realizaron 153 acciones de asesoría, distribuidas de la siguiente manera:
- 74 a las diferentes secretarías de educación certificadas, de manera presencial o virtual en torno a diferentes temas. 
- 19 a instituciones educativas que trabajan la educación básica, media o el ciclo complementario
- 35 a entidades de educación superior o formación para el trabajo y el desarrollo humano
- 8 en torno a la primera infancia
- 6 sobre la educación para adultos sordos
- 11 a otro tipo de entidades.
La razón principal por la cual se supera la meta, es por la adopción y puesta en funcionamiento del sistema de asesoría virtual," video conferencia Polycom" el cual empieza a consolidarse como un medio funcional, que permitió tener mayor alcance a nivel territorial.
</t>
  </si>
  <si>
    <t>Durante el cuarto trimestre se continuó con el avance de las actividades presupuestadas en el marco del proyecto Colombia primera en educación, atendiendo el desarrollo de la fase de alistamiento (visita in situ a las ciudades faltantes para el desarrollo de los planes de mejoramiento en las instituciones educativas). En el último periodo se asistió a Cúcuta, Medellín, Ibagué, Cali y Cartagena. 
Para estas visitas desde el equipo se estableció el contacto respectivo con las instituciones de cada ciudad para armonizar las agendas. De esa manera se pactaron los encuentros previamente y se llevaron a cabo las salidas a territorio, atendiendo principalmente instituciones educativas, universidades, asociaciones de sordos y secretarias de educación. 
Lo anterior sumado a las asesorías virtuales que pudieran emerger en el marco de los encuentros en cada ciudad, permitieron contar con la información suficiente, la cual fue objeto de procesamiento y análisis para la elaboración definitiva del Documento consolidado de la estrategia integral para el mejoramiento de la calidad educativa de la población sorda.</t>
  </si>
  <si>
    <t>Se avanzó en el desarrollo de procesos de asesoría y asistencia técnica para la inclusión de población sorda en 6 Instituciones de Educación Superior o formación para el trabajo y el desarrollo humano entre las que se tienen: *Corporación tecnológica del Oriente
*SENA
*Universidad Católica del Norte
* Universidad Minuto de Dios
* Universidad nacional
* Universidad San Buenaventura
Finalmente, se finalizo la elaboración del documento de criterios para la inclusión de los estudiantes sordos a la educación superior, el cual hace parte del Documento consolidado de la estrategia integral para el mejoramiento de la calidad educativa de la población sorda.</t>
  </si>
  <si>
    <t>A cierre de la vigencia se dan por terminadas las acciones correspondientes a esta actividad, en desarrollo de la cual se realizaron los ajustes a las pruebas Saber 11 y se construyeron los recursos educativos accesibles para la educación de la población sorda colombiana. Durante el cuarto trimestre se elaboró un informe final que da cuenta de las acciones adelantadas a lo largo del año.</t>
  </si>
  <si>
    <t xml:space="preserve">Se elaboró en su totalidad el documento: “ORIENTACIONES PARA LA CREACIÓN DE PROGRAMAS DE FORMACIÓN DE INTÉRPRETES Y TRADUCTORES DE LSC- ESPAÑOL EN INSTITUCIONES EDUCACIÓN SUPERIOR”, este está constituido por los siguientes apartados: introducción, justificación, avance disciplinar, oferta de la formación de intérpretes, diseño y estructura curricular, asesoría y apoyo técnico del INSOR. </t>
  </si>
  <si>
    <t>Las condiciones de calidad para la nueva oferta de 10 programas por ciclos propedéuticos se encuentran elaboradas, y validadas. Falta el proceso de cargue de información  en plataforma SACES la cual se realizara en la vigencia 2019</t>
  </si>
  <si>
    <t>A diciembre 31 ss ejecuto el 99,9% del plan de inversión para la vigencia 2018</t>
  </si>
  <si>
    <t>Para la vigencia 2019 se formularon 2 nuevos proyectos de inversión, los cuales se realizaron con la nueva metodología de cadena de valor con los nuevos programas presupuestales de 2019 y ambos quedaron dentro de la ley y decreto de liquidación del presupuesto 2019.</t>
  </si>
  <si>
    <t>Se ejecuto el 100% del plan de acción definido para la vigencia 2018</t>
  </si>
  <si>
    <t>Se ejecuto el 90% del plan de acción definido para la vigencia 2018</t>
  </si>
  <si>
    <t>En el 4 trimestre el número total de estudiantes fue de 264 discriminados así: 
1. (20 creole y 15 de ingles) total 35
2.  tecnico laboral en primera infancia 13
3. Taller sobre la escritura del creole 216</t>
  </si>
  <si>
    <t>Se ejecutaron dos estrategias:  
1. Dirigida al intercambio cultural internacional.
2. Taller de proyecto de vida</t>
  </si>
  <si>
    <t xml:space="preserve"> Las    campañas de divulgación realizadas fueron dos
1.  Enfocada a socializar el resultado del intercambio cultural internacional Mek wi rayt wi languich
2. Relacionada con la movilidad realizada por estudiantes de los tres programas </t>
  </si>
  <si>
    <t>Para el cuarto trimestre se realizó actividad con la parroquia la divina misericordia del sector de morris landing en alianza con la FAC para desarrollar actividades con la comunidad del sector.</t>
  </si>
  <si>
    <t xml:space="preserve">Se brindo apoyo al grupo y semillero de investigacion para continuar con el desarrollo de un proyecyo (Rutas Gastronómicas). </t>
  </si>
  <si>
    <t>Se creó la guia metodológica para el desarrollo de proyectos turísticos.</t>
  </si>
  <si>
    <t>Se continuó con la participación de las actividades desarrolladas por la Red de Emprendimiento Departamental.</t>
  </si>
  <si>
    <t>El ministerio de Educación Nacional  asignó pares académicos y se recibió la visita para cuatro de los cinco programas planteados por la institución,  y nos encontramos a la espera del concepto de aprobación por parte del MEN para el mes de febrero del año 2019, según cronograma del SACES.</t>
  </si>
  <si>
    <t>Se estableció una alianza con una universidad de Medellin, donde se ofertaron programas de pregrado.</t>
  </si>
  <si>
    <t>Se realizá fortalecimiento de las competencias en investigación, para así fortalecer el grupo de investigación y lograr la categorización del mismo.</t>
  </si>
  <si>
    <t>En el cuarto trimestre desde el plan de acceso, permanencia y graduación,  se realizaron las actividades que para tal fechas estaban programadas, entre estas actividades estan: 
Seguimiento a los casos de posibles deserciones, 
Prácticas y presentación del grupo de danzas tipicas y contemporaneas institucional.
Entrenamiento fisico y uso del gimnasio
Asesorias desde el área de psicología y salud.
Semana Cultural Universitaria</t>
  </si>
  <si>
    <t>Las actividades desarrolladas en este trimestre fueron: 
Prevención de la Violencia de Género
Prevención del alcoholismo y la drogadicción.
Live on Friday (Desarrollo Humano)
Desarrollo del Taller de Arte y Pintura Tradicional Isleña.
Salud Emocional, Espiritual y Física</t>
  </si>
  <si>
    <t xml:space="preserve">El contrato de mantenimiento del gimnasio se está ejecutando actualmente. </t>
  </si>
  <si>
    <t>Se oficializó la compra de los elelmentos del gimnasio, la compra de los vestidos típicos, Memorias USB.</t>
  </si>
  <si>
    <t>Se desarrollaron las actividades que desde el área de bienestar estaban programas: 
Prevención de la Violencia de Género
Prevención del alcoholismo y la drogadicción.
Live on Friday (Desarrollo Humano)
Desarrollo del Taller de Arte y Pintura Tradicional Isleña.
Salud Emocional, Espiritual y Física</t>
  </si>
  <si>
    <t>Participación de 11 estudiantes de los tres programas tecnicos profesionales en actividades de intercambio a las ciudades de barranquilla y cartagena a las instituciones: ITSA, PCA y COLMAYOR BOLIVAR</t>
  </si>
  <si>
    <t>Se desarrolla el intercambio cultural internacional,  enfocado en la cultura escrita: TALLER MEK WI RAYT WI LANGWICH, ALFABETO DEL CRIOLLO LIMONENSE. Con la presencia de un docente investigador de Costa Rica</t>
  </si>
  <si>
    <t>Se entregó por parte de la Universidad Nacional el documento final relacionado con el estudio del "perfil de la informalidad en San Andrés". Realizado por el ORMET (observatorio del mercado de trabajo) del cual hacemos parte en red desde el mes de julio con distintas instituciones del Departamento</t>
  </si>
  <si>
    <t>Postulación de buena práctica en internacionalización en casa del INFOTEP ante  V Jornada para la Internacionalización de la Educación Superior (JIES 2018), consolidando la vinculación de la institución  en la RCI de ASCUN</t>
  </si>
  <si>
    <t>Se visitó a la Uniremington en Medellín, promocionando la inmersión del centro de lenguas. Se contrató una empresa para la expedición de los tiquetes para promocionar el centro de lenguas. Se imprimieron  flyers para la inmersión del centro de lenguas y cultura, se visitó el colegio modelo Adventista, logrando abrir un curso que se certificó en Diciembre</t>
  </si>
  <si>
    <t>Se realizó la celebración del dia de la lengua materna. Se participó en el més de abril en el Ciclo de Conferencias del Campo Profesional e Investigativo en lenguas, del departamento de lenguas en la UCEVA TULÚA, al igual que en el més de junio, se participó en el immersion day en el mes de Junio en la UCEVA de Tulúa se realizarón las vacaciones recreativas con énfasis en inglés con un total de 21 niños, siendo el programa todo un exito.</t>
  </si>
  <si>
    <t>Se contrató a la docente de danzas para la implementación del grupo de danzas del infotep, logrando abrir un grupo de danzas conformado por funcionarios y estudiantes. Se contrató un profesor de inglés y creole para dictar clase en el centro de lenguas , se lograrón abrir 4 cursos de inglés. Se contrató a un profesional especializado en lenguas, hasta el mes de diciembre, en el segundo semestre en el mes de agosto se abrio el curso de creole con 25 estudiantes; se creo el primer módulo de creole virtual, se trabajó en el diseño de los planes de clases del los cursos de inglés de extensión</t>
  </si>
  <si>
    <t>Se certificaron 74 estudiantes correspondientes a los programas TL en Recepción Ecohotelera y Formación Académica en Inglés</t>
  </si>
  <si>
    <t>333 uniformes entregados (camiseta y gorras)</t>
  </si>
  <si>
    <t>Corresponde al contrato de dotacin de la cocina. Ya se entregaron los estudios previos y se tiene CDP</t>
  </si>
  <si>
    <t>Se realizó el mantenimiento al laboratorio de cocina</t>
  </si>
  <si>
    <t>Se adquirió dotación para el laboratorio de cocina</t>
  </si>
  <si>
    <t>El proceso con los padres de familia se ha llevado a cabo de acuerdo con la programación</t>
  </si>
  <si>
    <t>Se cumplió con las actividades establecidas en el contrato</t>
  </si>
  <si>
    <t>Se entregaron todos los bonos de transporte del proyecto a los estudiantes articulados</t>
  </si>
  <si>
    <r>
      <t>Este avance del 100% esta representado, ademas de las actividades que se realizaron en el trimestres anterior, en la visita de los pares para  v</t>
    </r>
    <r>
      <rPr>
        <b/>
        <sz val="10"/>
        <rFont val="Arial"/>
        <family val="2"/>
      </rPr>
      <t>erificación del cumplimiento de condiciones de calidad para el programa de Contaduría Pública por ciclos propedéuticos</t>
    </r>
  </si>
  <si>
    <t>Se ha venido ejecutando la estrategia de Marketing con actividades de promoción : incluye plegables, boletines , volantes , publicidad radial y visita a los colegios de la guajira y el cesar.</t>
  </si>
  <si>
    <t xml:space="preserve">Este avance del 100% está representado:1)  En la realización de talleres a los estudiantes en las competencias que se  evaluan en las pruebas Saber Pro; 2) Se realizo un taller sobre competencias que se  evaluan en las pruebas Saber Pro a los docentes coordinadores de los campos de formación; 3) Se establecio y ejecuto el calendario interno saber Pro, como se puede apreciar en la pagina Weeb en el link </t>
  </si>
  <si>
    <r>
      <t xml:space="preserve">Este avance del 100% está representado en las actividades de los trimestres anteriores, mas el </t>
    </r>
    <r>
      <rPr>
        <b/>
        <sz val="10"/>
        <rFont val="Arial"/>
        <family val="2"/>
      </rPr>
      <t>el encuentro internacional de investigación realizado los dias 7, 8 y 9 de noviembre 2018.</t>
    </r>
    <r>
      <rPr>
        <sz val="10"/>
        <rFont val="Arial"/>
        <family val="2"/>
      </rPr>
      <t xml:space="preserve"> </t>
    </r>
  </si>
  <si>
    <t>Se realizo el plan de mejoramiento, de acuerdo a las recomendaciones del CNA, el cual fue aprobado por el consejo académico</t>
  </si>
  <si>
    <t>NA</t>
  </si>
  <si>
    <t>Se realizó la caratecrización de los estudiantes de IBT y Programas de educación superior</t>
  </si>
  <si>
    <t xml:space="preserve">l estado actual del proceso de acreditación de los programas se encuentra:
Técnica Profesional en Mantenimiento Industrial           Revisión informe de evaluación externa
Tecnología en Montajes Industriales                                        Para comentarios al Rector
Ingeniería Electromecánica                                                             Con pares designados
Técnica Profesional en Electrónica Industrial                     Revisión informe de evaluación Externa
Tecnología en Automatización Industrial                               Revisión informe de evaluación Externa
Ingeniería Mecatrónica                                                                      Revisión informe de evaluación Externa
Tecnología en Desarrollo de Software                                       Para comentarios del Rector
Ingeniería de Sistemas                                                                         Para comentarios del Rector
Técnica Profesional en Procesos de Manufactura            Revisión informe de Evaluación Externa
Tecnología en Producción Industrial                                          Revisión informe de Evaluación Externa
Ingeniería de Procesos Industriales                                           Revisión informe de Evaluación Externa
</t>
  </si>
  <si>
    <t>65.88%</t>
  </si>
  <si>
    <t>100%</t>
  </si>
  <si>
    <t>%  de cumplimiento</t>
  </si>
  <si>
    <t>Cumplimiento por Entidad</t>
  </si>
  <si>
    <t>% cumplimiento Entidades</t>
  </si>
  <si>
    <t>Promedio cumplimiento Dimensiones</t>
  </si>
  <si>
    <t>Promedio  de cumplimiento de las Entidades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</si>
</sst>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 #,##0_-;_-* &quot;-&quot;_-;_-@_-"/>
    <numFmt numFmtId="164" formatCode="_ &quot;$&quot;\ * #,##0.00_ ;_ &quot;$&quot;\ * \-#,##0.00_ ;_ &quot;$&quot;\ * &quot;-&quot;??_ ;_ @_ "/>
    <numFmt numFmtId="165" formatCode="_ * #,##0.00_ ;_ * \-#,##0.00_ ;_ * &quot;-&quot;??_ ;_ @_ "/>
    <numFmt numFmtId="166" formatCode="0.0%"/>
    <numFmt numFmtId="167" formatCode="_-* #,##0.00_-;\-* #,##0.00_-;_-* &quot;-&quot;_-;_-@_-"/>
    <numFmt numFmtId="168" formatCode="_-* #,##0.0_-;\-* #,##0.0_-;_-* &quot;-&quot;_-;_-@_-"/>
    <numFmt numFmtId="169" formatCode="&quot;$&quot;\ #,##0_);[Red]\(&quot;$&quot;\ #,##0\)"/>
    <numFmt numFmtId="170" formatCode="#,##0_ ;\-#,##0\ "/>
    <numFmt numFmtId="171" formatCode="#,##0.00_ ;\-#,##0.00\ "/>
    <numFmt numFmtId="172" formatCode="#,##0.000_ ;\-#,##0.000\ "/>
  </numFmts>
  <fonts count="42">
    <font>
      <sz val="10"/>
      <name val="Arial"/>
    </font>
    <font>
      <b/>
      <sz val="8"/>
      <name val="Arial"/>
      <family val="2"/>
    </font>
    <font>
      <sz val="10"/>
      <name val="Arial"/>
      <family val="2"/>
    </font>
    <font>
      <sz val="10"/>
      <name val="Arial"/>
      <family val="2"/>
    </font>
    <font>
      <sz val="8"/>
      <name val="Verdana"/>
      <family val="2"/>
    </font>
    <font>
      <sz val="12"/>
      <name val="Calibri"/>
      <family val="2"/>
      <scheme val="minor"/>
    </font>
    <font>
      <b/>
      <sz val="12"/>
      <name val="Calibri"/>
      <family val="2"/>
      <scheme val="minor"/>
    </font>
    <font>
      <b/>
      <sz val="26"/>
      <color theme="0"/>
      <name val="Calibri"/>
      <family val="2"/>
      <scheme val="minor"/>
    </font>
    <font>
      <b/>
      <sz val="14"/>
      <name val="Calibri"/>
      <family val="2"/>
      <scheme val="minor"/>
    </font>
    <font>
      <sz val="11"/>
      <name val="Calibri"/>
      <family val="2"/>
      <scheme val="minor"/>
    </font>
    <font>
      <sz val="10"/>
      <name val="Arial"/>
      <family val="2"/>
    </font>
    <font>
      <b/>
      <sz val="11"/>
      <name val="Calibri"/>
      <family val="2"/>
      <scheme val="minor"/>
    </font>
    <font>
      <b/>
      <sz val="12"/>
      <color indexed="81"/>
      <name val="Tahoma"/>
      <family val="2"/>
    </font>
    <font>
      <sz val="10"/>
      <name val="Arial"/>
      <family val="2"/>
    </font>
    <font>
      <sz val="12"/>
      <name val="Arial"/>
      <family val="2"/>
    </font>
    <font>
      <sz val="12"/>
      <name val="Calibri"/>
      <family val="2"/>
    </font>
    <font>
      <sz val="10"/>
      <name val="Verdana"/>
      <family val="2"/>
    </font>
    <font>
      <sz val="10"/>
      <color theme="0"/>
      <name val="Arial"/>
      <family val="2"/>
    </font>
    <font>
      <b/>
      <sz val="9"/>
      <name val="Calibri"/>
      <family val="2"/>
      <scheme val="minor"/>
    </font>
    <font>
      <sz val="11"/>
      <name val="Calibri "/>
    </font>
    <font>
      <b/>
      <sz val="9"/>
      <name val="Arial"/>
      <family val="2"/>
    </font>
    <font>
      <sz val="10"/>
      <name val="Calibri"/>
      <family val="2"/>
      <scheme val="minor"/>
    </font>
    <font>
      <b/>
      <sz val="16"/>
      <name val="Calibri"/>
      <family val="2"/>
      <scheme val="minor"/>
    </font>
    <font>
      <b/>
      <sz val="18"/>
      <name val="Calibri"/>
      <family val="2"/>
      <scheme val="minor"/>
    </font>
    <font>
      <u/>
      <sz val="10"/>
      <name val="Arial"/>
      <family val="2"/>
    </font>
    <font>
      <sz val="11"/>
      <color theme="1"/>
      <name val="Calibri "/>
    </font>
    <font>
      <b/>
      <sz val="10"/>
      <name val="Arial"/>
      <family val="2"/>
    </font>
    <font>
      <b/>
      <i/>
      <sz val="10"/>
      <name val="Arial"/>
      <family val="2"/>
    </font>
    <font>
      <b/>
      <sz val="12"/>
      <name val="Arial"/>
      <family val="2"/>
    </font>
    <font>
      <b/>
      <sz val="14"/>
      <name val="Arial"/>
      <family val="2"/>
    </font>
    <font>
      <sz val="12"/>
      <color theme="1"/>
      <name val="Arial"/>
      <family val="2"/>
    </font>
    <font>
      <sz val="9"/>
      <color rgb="FF000000"/>
      <name val="Calibri"/>
      <family val="2"/>
      <scheme val="minor"/>
    </font>
    <font>
      <sz val="9"/>
      <name val="Calibri"/>
      <family val="2"/>
      <scheme val="minor"/>
    </font>
    <font>
      <b/>
      <sz val="9"/>
      <color indexed="81"/>
      <name val="Tahoma"/>
      <family val="2"/>
    </font>
    <font>
      <sz val="9"/>
      <color indexed="81"/>
      <name val="Tahoma"/>
      <family val="2"/>
    </font>
    <font>
      <b/>
      <sz val="10"/>
      <name val="Calibri"/>
      <family val="2"/>
      <scheme val="minor"/>
    </font>
    <font>
      <sz val="9"/>
      <name val="Arial"/>
      <family val="2"/>
    </font>
    <font>
      <sz val="8"/>
      <name val="Arial"/>
      <family val="2"/>
    </font>
    <font>
      <b/>
      <sz val="9"/>
      <color theme="0"/>
      <name val="Arial"/>
      <family val="2"/>
    </font>
    <font>
      <b/>
      <sz val="11"/>
      <color theme="0"/>
      <name val="Arial"/>
      <family val="2"/>
    </font>
    <font>
      <sz val="12"/>
      <color theme="1"/>
      <name val="Calibri"/>
      <family val="2"/>
      <scheme val="minor"/>
    </font>
    <font>
      <sz val="10"/>
      <color rgb="FF000000"/>
      <name val="Arial"/>
      <family val="2"/>
    </font>
  </fonts>
  <fills count="1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rgb="FF000000"/>
      </patternFill>
    </fill>
    <fill>
      <patternFill patternType="solid">
        <fgColor rgb="FF660066"/>
        <bgColor indexed="64"/>
      </patternFill>
    </fill>
    <fill>
      <patternFill patternType="solid">
        <fgColor rgb="FFFFD5FF"/>
        <bgColor indexed="64"/>
      </patternFill>
    </fill>
    <fill>
      <patternFill patternType="solid">
        <fgColor rgb="FF7030A0"/>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rgb="FF000000"/>
      </left>
      <right style="hair">
        <color rgb="FF000000"/>
      </right>
      <top style="hair">
        <color rgb="FF000000"/>
      </top>
      <bottom style="hair">
        <color rgb="FF000000"/>
      </bottom>
      <diagonal/>
    </border>
    <border>
      <left style="hair">
        <color indexed="64"/>
      </left>
      <right/>
      <top style="hair">
        <color indexed="64"/>
      </top>
      <bottom/>
      <diagonal/>
    </border>
    <border>
      <left style="hair">
        <color indexed="64"/>
      </left>
      <right/>
      <top/>
      <bottom/>
      <diagonal/>
    </border>
    <border>
      <left style="hair">
        <color rgb="FF000000"/>
      </left>
      <right/>
      <top/>
      <bottom/>
      <diagonal/>
    </border>
  </borders>
  <cellStyleXfs count="17">
    <xf numFmtId="0" fontId="0"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9" fontId="10"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41" fontId="13" fillId="0" borderId="0" applyFont="0" applyFill="0" applyBorder="0" applyAlignment="0" applyProtection="0"/>
    <xf numFmtId="9" fontId="2" fillId="0" borderId="0" applyFont="0" applyFill="0" applyBorder="0" applyAlignment="0" applyProtection="0"/>
    <xf numFmtId="0" fontId="2" fillId="0" borderId="0"/>
    <xf numFmtId="41" fontId="13" fillId="0" borderId="0" applyFont="0" applyFill="0" applyBorder="0" applyAlignment="0" applyProtection="0"/>
    <xf numFmtId="41" fontId="2" fillId="0" borderId="0" applyFont="0" applyFill="0" applyBorder="0" applyAlignment="0" applyProtection="0"/>
    <xf numFmtId="9" fontId="2" fillId="0" borderId="0" applyFont="0" applyFill="0" applyBorder="0" applyAlignment="0" applyProtection="0"/>
  </cellStyleXfs>
  <cellXfs count="404">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Border="1"/>
    <xf numFmtId="0" fontId="4" fillId="5" borderId="0" xfId="0" applyFont="1" applyFill="1" applyBorder="1" applyAlignment="1">
      <alignment vertical="center" wrapText="1"/>
    </xf>
    <xf numFmtId="0" fontId="4" fillId="6" borderId="0" xfId="0" applyFont="1" applyFill="1" applyBorder="1" applyAlignment="1">
      <alignment vertical="center" wrapText="1"/>
    </xf>
    <xf numFmtId="0" fontId="2" fillId="7" borderId="0" xfId="0" applyFont="1" applyFill="1" applyAlignment="1">
      <alignment vertical="center"/>
    </xf>
    <xf numFmtId="0" fontId="9" fillId="0" borderId="7" xfId="0" applyFont="1" applyFill="1" applyBorder="1" applyAlignment="1">
      <alignment horizontal="justify" vertical="center" wrapText="1"/>
    </xf>
    <xf numFmtId="0" fontId="5" fillId="0" borderId="7" xfId="0" applyFont="1" applyFill="1" applyBorder="1" applyAlignment="1">
      <alignment horizontal="justify" vertical="center" wrapText="1"/>
    </xf>
    <xf numFmtId="9" fontId="5" fillId="4" borderId="7" xfId="0" applyNumberFormat="1" applyFont="1" applyFill="1" applyBorder="1" applyAlignment="1">
      <alignment horizontal="center" vertical="center"/>
    </xf>
    <xf numFmtId="9" fontId="0" fillId="0" borderId="0" xfId="7" applyFont="1"/>
    <xf numFmtId="0" fontId="5" fillId="4" borderId="7" xfId="0" applyFont="1" applyFill="1" applyBorder="1" applyAlignment="1">
      <alignment horizontal="center" vertical="center"/>
    </xf>
    <xf numFmtId="0" fontId="0" fillId="0" borderId="0" xfId="0"/>
    <xf numFmtId="0" fontId="0" fillId="0" borderId="0" xfId="0" applyAlignment="1">
      <alignment horizontal="center" vertical="center"/>
    </xf>
    <xf numFmtId="0" fontId="6" fillId="8" borderId="7" xfId="0" applyFont="1" applyFill="1" applyBorder="1" applyAlignment="1">
      <alignment horizontal="center" vertical="center"/>
    </xf>
    <xf numFmtId="0" fontId="5" fillId="0" borderId="7" xfId="0" applyFont="1" applyFill="1" applyBorder="1" applyAlignment="1">
      <alignment horizontal="center" vertical="center" wrapText="1"/>
    </xf>
    <xf numFmtId="14" fontId="5" fillId="0" borderId="7" xfId="0" applyNumberFormat="1" applyFont="1" applyFill="1" applyBorder="1" applyAlignment="1">
      <alignment horizontal="center" vertical="center"/>
    </xf>
    <xf numFmtId="9" fontId="5" fillId="0" borderId="7" xfId="0" applyNumberFormat="1" applyFont="1" applyFill="1" applyBorder="1" applyAlignment="1">
      <alignment horizontal="center" vertical="center"/>
    </xf>
    <xf numFmtId="0" fontId="9" fillId="0" borderId="7" xfId="0" applyFont="1" applyBorder="1" applyAlignment="1">
      <alignment horizontal="justify" vertical="center" wrapText="1"/>
    </xf>
    <xf numFmtId="0" fontId="9" fillId="4" borderId="7" xfId="0" applyFont="1" applyFill="1" applyBorder="1" applyAlignment="1">
      <alignment horizontal="justify" vertical="center" wrapText="1"/>
    </xf>
    <xf numFmtId="9" fontId="5" fillId="0" borderId="7" xfId="0" applyNumberFormat="1" applyFont="1" applyFill="1" applyBorder="1" applyAlignment="1">
      <alignment horizontal="center" vertical="center" wrapText="1"/>
    </xf>
    <xf numFmtId="9" fontId="5" fillId="0" borderId="7" xfId="0" applyNumberFormat="1" applyFont="1" applyFill="1" applyBorder="1" applyAlignment="1">
      <alignment horizontal="left" vertical="top" wrapText="1"/>
    </xf>
    <xf numFmtId="14" fontId="5" fillId="0" borderId="7" xfId="0" applyNumberFormat="1" applyFont="1" applyFill="1" applyBorder="1" applyAlignment="1">
      <alignment horizontal="center" vertical="center" wrapText="1"/>
    </xf>
    <xf numFmtId="9" fontId="5" fillId="4" borderId="7" xfId="7" applyFont="1" applyFill="1" applyBorder="1" applyAlignment="1">
      <alignment horizontal="center" vertical="center"/>
    </xf>
    <xf numFmtId="9" fontId="5" fillId="0" borderId="7" xfId="7" applyFont="1" applyFill="1" applyBorder="1" applyAlignment="1">
      <alignment horizontal="center" vertical="center" wrapText="1"/>
    </xf>
    <xf numFmtId="41" fontId="5" fillId="0" borderId="7" xfId="11" applyFont="1" applyFill="1" applyBorder="1" applyAlignment="1">
      <alignment horizontal="center" vertical="center" wrapText="1"/>
    </xf>
    <xf numFmtId="167" fontId="5" fillId="0" borderId="7" xfId="11" applyNumberFormat="1" applyFont="1" applyFill="1" applyBorder="1" applyAlignment="1">
      <alignment horizontal="center" vertical="center" wrapText="1"/>
    </xf>
    <xf numFmtId="41" fontId="5" fillId="0" borderId="7" xfId="11" applyNumberFormat="1" applyFont="1" applyFill="1" applyBorder="1" applyAlignment="1">
      <alignment horizontal="center" vertical="center" wrapText="1"/>
    </xf>
    <xf numFmtId="9" fontId="5" fillId="4" borderId="7" xfId="7" applyFont="1" applyFill="1" applyBorder="1" applyAlignment="1">
      <alignment horizontal="center" vertical="center" wrapText="1"/>
    </xf>
    <xf numFmtId="14" fontId="5" fillId="4" borderId="7" xfId="0" applyNumberFormat="1" applyFont="1" applyFill="1" applyBorder="1" applyAlignment="1">
      <alignment horizontal="center" vertical="center" wrapText="1"/>
    </xf>
    <xf numFmtId="41" fontId="5" fillId="4" borderId="7" xfId="11" applyFont="1" applyFill="1" applyBorder="1" applyAlignment="1">
      <alignment horizontal="center" vertical="center" wrapText="1"/>
    </xf>
    <xf numFmtId="9" fontId="5" fillId="4" borderId="7" xfId="0" applyNumberFormat="1" applyFont="1" applyFill="1" applyBorder="1" applyAlignment="1">
      <alignment horizontal="center" vertical="center" wrapText="1"/>
    </xf>
    <xf numFmtId="9" fontId="5" fillId="4" borderId="7" xfId="11" applyNumberFormat="1" applyFont="1" applyFill="1" applyBorder="1" applyAlignment="1">
      <alignment horizontal="center" vertical="center" wrapText="1"/>
    </xf>
    <xf numFmtId="0" fontId="5" fillId="9" borderId="7" xfId="3" applyFont="1" applyFill="1" applyBorder="1" applyAlignment="1" applyProtection="1">
      <alignment horizontal="center" vertical="center" wrapText="1"/>
      <protection locked="0"/>
    </xf>
    <xf numFmtId="9" fontId="5" fillId="4" borderId="7" xfId="12" applyFont="1" applyFill="1" applyBorder="1" applyAlignment="1">
      <alignment horizontal="center" vertical="center" wrapText="1"/>
    </xf>
    <xf numFmtId="167" fontId="5" fillId="4" borderId="7" xfId="11" applyNumberFormat="1" applyFont="1" applyFill="1" applyBorder="1" applyAlignment="1">
      <alignment horizontal="center" vertical="center" wrapText="1"/>
    </xf>
    <xf numFmtId="168" fontId="5" fillId="4" borderId="7" xfId="11" applyNumberFormat="1" applyFont="1" applyFill="1" applyBorder="1" applyAlignment="1">
      <alignment horizontal="center" vertical="center" wrapText="1"/>
    </xf>
    <xf numFmtId="10" fontId="5" fillId="0" borderId="7" xfId="7" applyNumberFormat="1" applyFont="1" applyFill="1" applyBorder="1" applyAlignment="1">
      <alignment horizontal="center" vertical="center" wrapText="1"/>
    </xf>
    <xf numFmtId="0" fontId="2" fillId="4" borderId="7" xfId="0" applyFont="1" applyFill="1" applyBorder="1" applyAlignment="1">
      <alignment horizontal="center" vertical="center" wrapText="1"/>
    </xf>
    <xf numFmtId="14" fontId="15" fillId="4" borderId="7" xfId="0" applyNumberFormat="1" applyFont="1" applyFill="1" applyBorder="1" applyAlignment="1">
      <alignment horizontal="center" vertical="center" wrapText="1"/>
    </xf>
    <xf numFmtId="10" fontId="15" fillId="0" borderId="7" xfId="7" applyNumberFormat="1" applyFont="1" applyFill="1" applyBorder="1" applyAlignment="1">
      <alignment horizontal="center" vertical="center" wrapText="1"/>
    </xf>
    <xf numFmtId="0" fontId="15" fillId="4" borderId="7" xfId="0" applyFont="1" applyFill="1" applyBorder="1" applyAlignment="1">
      <alignment horizontal="center" vertical="center" wrapText="1"/>
    </xf>
    <xf numFmtId="9" fontId="0" fillId="0" borderId="7" xfId="12" applyFont="1" applyBorder="1" applyAlignment="1">
      <alignment horizontal="center" vertical="center"/>
    </xf>
    <xf numFmtId="0" fontId="9" fillId="0" borderId="7" xfId="3" applyFont="1" applyBorder="1" applyAlignment="1">
      <alignment horizontal="center" vertical="center" wrapText="1"/>
    </xf>
    <xf numFmtId="0" fontId="9" fillId="0" borderId="7" xfId="3" applyFont="1" applyBorder="1" applyAlignment="1">
      <alignment horizontal="center" vertical="center"/>
    </xf>
    <xf numFmtId="0" fontId="14" fillId="4" borderId="7" xfId="0" applyFont="1" applyFill="1" applyBorder="1" applyAlignment="1" applyProtection="1">
      <alignment horizontal="center" vertical="center" wrapText="1"/>
      <protection locked="0"/>
    </xf>
    <xf numFmtId="0" fontId="14" fillId="4" borderId="7" xfId="0" applyFont="1" applyFill="1" applyBorder="1" applyAlignment="1" applyProtection="1">
      <alignment horizontal="center" vertical="center" wrapText="1" readingOrder="1"/>
      <protection locked="0"/>
    </xf>
    <xf numFmtId="0" fontId="14" fillId="0" borderId="7" xfId="0" applyFont="1" applyFill="1" applyBorder="1" applyAlignment="1" applyProtection="1">
      <alignment horizontal="center" vertical="center" wrapText="1"/>
      <protection locked="0"/>
    </xf>
    <xf numFmtId="0" fontId="15" fillId="0" borderId="7" xfId="3" applyFont="1" applyBorder="1" applyAlignment="1">
      <alignment horizontal="center" vertical="center"/>
    </xf>
    <xf numFmtId="41" fontId="15" fillId="0" borderId="7" xfId="11" applyFont="1" applyFill="1" applyBorder="1" applyAlignment="1">
      <alignment horizontal="center" vertical="center" wrapText="1"/>
    </xf>
    <xf numFmtId="0" fontId="0" fillId="0" borderId="0" xfId="0" applyFont="1"/>
    <xf numFmtId="0" fontId="14" fillId="4" borderId="7"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5" fillId="0" borderId="7" xfId="0" applyFont="1" applyFill="1" applyBorder="1" applyAlignment="1">
      <alignment horizontal="right" vertical="center" wrapText="1"/>
    </xf>
    <xf numFmtId="0" fontId="6" fillId="8" borderId="7" xfId="0" applyFont="1" applyFill="1" applyBorder="1" applyAlignment="1">
      <alignment horizontal="center" vertical="center" wrapText="1"/>
    </xf>
    <xf numFmtId="0" fontId="0" fillId="0" borderId="7" xfId="0" applyFont="1" applyBorder="1" applyAlignment="1">
      <alignment horizontal="center" vertical="center" wrapText="1"/>
    </xf>
    <xf numFmtId="0" fontId="2" fillId="0" borderId="7" xfId="0" applyFont="1" applyBorder="1" applyAlignment="1">
      <alignment horizontal="center" vertical="center" wrapText="1"/>
    </xf>
    <xf numFmtId="10" fontId="2" fillId="0" borderId="7" xfId="0" applyNumberFormat="1" applyFont="1" applyBorder="1" applyAlignment="1">
      <alignment horizontal="center" vertical="center" wrapText="1"/>
    </xf>
    <xf numFmtId="41" fontId="0" fillId="0" borderId="7" xfId="11" applyFont="1" applyBorder="1" applyAlignment="1">
      <alignment horizontal="center" vertical="center"/>
    </xf>
    <xf numFmtId="0" fontId="5" fillId="4" borderId="7" xfId="0" applyFont="1" applyFill="1" applyBorder="1" applyAlignment="1">
      <alignment horizontal="center" vertical="center" wrapText="1"/>
    </xf>
    <xf numFmtId="0" fontId="15" fillId="0" borderId="7" xfId="0" applyFont="1" applyBorder="1" applyAlignment="1">
      <alignment horizontal="center" vertical="center" wrapText="1"/>
    </xf>
    <xf numFmtId="9" fontId="15" fillId="0" borderId="7" xfId="0" applyNumberFormat="1" applyFont="1" applyBorder="1" applyAlignment="1">
      <alignment horizontal="center" vertical="center" wrapText="1"/>
    </xf>
    <xf numFmtId="41" fontId="15" fillId="0" borderId="7" xfId="11" applyFont="1" applyBorder="1" applyAlignment="1">
      <alignment horizontal="center" vertical="center" wrapText="1"/>
    </xf>
    <xf numFmtId="14" fontId="15" fillId="0" borderId="7" xfId="0" applyNumberFormat="1" applyFont="1" applyFill="1" applyBorder="1" applyAlignment="1">
      <alignment horizontal="center" vertical="center" wrapText="1"/>
    </xf>
    <xf numFmtId="9" fontId="15" fillId="0" borderId="7" xfId="7" applyFont="1" applyFill="1" applyBorder="1" applyAlignment="1">
      <alignment horizontal="center" vertical="center" wrapText="1"/>
    </xf>
    <xf numFmtId="9" fontId="15" fillId="0" borderId="7" xfId="0" applyNumberFormat="1" applyFont="1" applyFill="1" applyBorder="1" applyAlignment="1">
      <alignment horizontal="center" vertical="center" wrapText="1"/>
    </xf>
    <xf numFmtId="10" fontId="15" fillId="0" borderId="7" xfId="11" applyNumberFormat="1" applyFont="1" applyBorder="1" applyAlignment="1">
      <alignment horizontal="center" vertical="center" wrapText="1"/>
    </xf>
    <xf numFmtId="0" fontId="0" fillId="0" borderId="0" xfId="0" applyFont="1" applyAlignment="1">
      <alignment horizontal="center"/>
    </xf>
    <xf numFmtId="9" fontId="5" fillId="0" borderId="7" xfId="0" applyNumberFormat="1" applyFont="1" applyFill="1" applyBorder="1" applyAlignment="1">
      <alignment horizontal="center" vertical="center" wrapText="1"/>
    </xf>
    <xf numFmtId="166" fontId="5" fillId="0" borderId="7" xfId="0" applyNumberFormat="1" applyFont="1" applyFill="1" applyBorder="1" applyAlignment="1">
      <alignment horizontal="center" vertical="center" wrapText="1"/>
    </xf>
    <xf numFmtId="166" fontId="5" fillId="0" borderId="7" xfId="0" applyNumberFormat="1" applyFont="1" applyFill="1" applyBorder="1" applyAlignment="1">
      <alignment horizontal="center" vertical="center"/>
    </xf>
    <xf numFmtId="0" fontId="0" fillId="0" borderId="7" xfId="0" applyFont="1" applyBorder="1"/>
    <xf numFmtId="0" fontId="17" fillId="0" borderId="0" xfId="0" applyFont="1"/>
    <xf numFmtId="166" fontId="0" fillId="0" borderId="7" xfId="0" applyNumberFormat="1" applyFont="1" applyBorder="1" applyAlignment="1">
      <alignment horizontal="center" vertical="center"/>
    </xf>
    <xf numFmtId="0" fontId="0" fillId="0" borderId="7" xfId="0" applyFont="1" applyBorder="1" applyAlignment="1">
      <alignment horizontal="center"/>
    </xf>
    <xf numFmtId="0" fontId="0" fillId="0" borderId="7" xfId="0" applyFont="1" applyBorder="1" applyAlignment="1">
      <alignment horizontal="center" vertical="center"/>
    </xf>
    <xf numFmtId="9" fontId="0" fillId="0" borderId="7" xfId="0" applyNumberFormat="1" applyFont="1" applyBorder="1" applyAlignment="1">
      <alignment horizontal="center" vertical="center"/>
    </xf>
    <xf numFmtId="14" fontId="5" fillId="0" borderId="7" xfId="0" applyNumberFormat="1" applyFont="1" applyFill="1" applyBorder="1" applyAlignment="1">
      <alignment horizontal="center" vertical="center" wrapText="1"/>
    </xf>
    <xf numFmtId="0" fontId="2" fillId="4" borderId="7" xfId="0" applyFont="1" applyFill="1" applyBorder="1" applyAlignment="1">
      <alignment horizontal="center" vertical="center"/>
    </xf>
    <xf numFmtId="0" fontId="16" fillId="0" borderId="7" xfId="0" applyFont="1" applyFill="1" applyBorder="1" applyAlignment="1" applyProtection="1">
      <alignment horizontal="center" vertical="center" wrapText="1" readingOrder="1"/>
      <protection locked="0"/>
    </xf>
    <xf numFmtId="0" fontId="9" fillId="0" borderId="7" xfId="0" applyFont="1" applyBorder="1" applyAlignment="1">
      <alignment horizontal="center" vertical="center" wrapText="1"/>
    </xf>
    <xf numFmtId="9" fontId="9" fillId="0" borderId="7" xfId="7" applyFont="1" applyBorder="1" applyAlignment="1">
      <alignment horizontal="center" vertical="center" wrapText="1"/>
    </xf>
    <xf numFmtId="0" fontId="9" fillId="4" borderId="7" xfId="0" applyFont="1" applyFill="1" applyBorder="1" applyAlignment="1">
      <alignment horizontal="left" vertical="center" wrapText="1"/>
    </xf>
    <xf numFmtId="14" fontId="9" fillId="0" borderId="7" xfId="0" applyNumberFormat="1" applyFont="1" applyBorder="1" applyAlignment="1">
      <alignment horizontal="center" vertical="center" wrapText="1"/>
    </xf>
    <xf numFmtId="0" fontId="9" fillId="0" borderId="7" xfId="0" applyFont="1" applyBorder="1" applyAlignment="1">
      <alignment horizontal="left" vertical="center" wrapText="1"/>
    </xf>
    <xf numFmtId="0" fontId="9" fillId="0" borderId="7" xfId="0" applyFont="1" applyFill="1" applyBorder="1" applyAlignment="1">
      <alignment horizontal="left" vertical="center" wrapText="1"/>
    </xf>
    <xf numFmtId="0" fontId="5" fillId="0" borderId="7" xfId="0" applyFont="1" applyFill="1" applyBorder="1" applyAlignment="1">
      <alignment horizontal="center" vertical="center" wrapText="1"/>
    </xf>
    <xf numFmtId="9" fontId="9" fillId="0" borderId="7" xfId="0" applyNumberFormat="1" applyFont="1" applyFill="1" applyBorder="1" applyAlignment="1">
      <alignment horizontal="center" vertical="center" wrapText="1"/>
    </xf>
    <xf numFmtId="0" fontId="5" fillId="4" borderId="7" xfId="0" applyFont="1" applyFill="1" applyBorder="1" applyAlignment="1">
      <alignment horizontal="justify" vertical="center" wrapText="1"/>
    </xf>
    <xf numFmtId="9" fontId="5" fillId="0" borderId="7" xfId="0" applyNumberFormat="1" applyFont="1" applyFill="1" applyBorder="1" applyAlignment="1">
      <alignment horizontal="center" vertical="center"/>
    </xf>
    <xf numFmtId="0" fontId="0" fillId="0" borderId="7" xfId="0" applyBorder="1" applyAlignment="1">
      <alignment horizontal="center" vertical="center" wrapText="1"/>
    </xf>
    <xf numFmtId="0" fontId="2" fillId="0" borderId="7" xfId="0" applyFont="1" applyBorder="1" applyAlignment="1">
      <alignment horizontal="center" vertical="center" wrapText="1"/>
    </xf>
    <xf numFmtId="9" fontId="5" fillId="0" borderId="7" xfId="0" applyNumberFormat="1" applyFont="1" applyFill="1" applyBorder="1" applyAlignment="1">
      <alignment horizontal="center" vertical="center" wrapText="1"/>
    </xf>
    <xf numFmtId="14" fontId="5" fillId="0" borderId="7"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9" fillId="0" borderId="7" xfId="0" applyFont="1" applyBorder="1" applyAlignment="1">
      <alignment horizontal="justify" vertical="center" wrapText="1"/>
    </xf>
    <xf numFmtId="0" fontId="0" fillId="0" borderId="9" xfId="0" applyFont="1" applyBorder="1" applyAlignment="1">
      <alignment horizontal="center" vertical="center"/>
    </xf>
    <xf numFmtId="41" fontId="0" fillId="0" borderId="9" xfId="11" applyFont="1" applyBorder="1" applyAlignment="1">
      <alignment horizontal="center" vertical="center"/>
    </xf>
    <xf numFmtId="169" fontId="5" fillId="0" borderId="7" xfId="0" applyNumberFormat="1" applyFont="1" applyFill="1" applyBorder="1" applyAlignment="1">
      <alignment horizontal="center" vertical="center" wrapText="1"/>
    </xf>
    <xf numFmtId="10" fontId="0" fillId="0" borderId="0" xfId="0" applyNumberFormat="1" applyFont="1" applyAlignment="1">
      <alignment horizontal="center" vertical="center"/>
    </xf>
    <xf numFmtId="0" fontId="6" fillId="8" borderId="7" xfId="0" applyFont="1" applyFill="1" applyBorder="1" applyAlignment="1">
      <alignment horizontal="center" vertical="center" wrapText="1"/>
    </xf>
    <xf numFmtId="0" fontId="5" fillId="4" borderId="7" xfId="0" applyFont="1" applyFill="1" applyBorder="1" applyAlignment="1">
      <alignment horizontal="center" vertical="center" wrapText="1"/>
    </xf>
    <xf numFmtId="9" fontId="15" fillId="0" borderId="7" xfId="0" applyNumberFormat="1" applyFont="1" applyFill="1" applyBorder="1" applyAlignment="1">
      <alignment horizontal="center" vertical="center" wrapText="1"/>
    </xf>
    <xf numFmtId="9" fontId="15" fillId="0" borderId="7" xfId="7" applyFont="1" applyFill="1" applyBorder="1" applyAlignment="1">
      <alignment horizontal="center" vertical="center" wrapText="1"/>
    </xf>
    <xf numFmtId="9" fontId="15" fillId="0" borderId="7" xfId="0" applyNumberFormat="1" applyFont="1" applyBorder="1" applyAlignment="1">
      <alignment horizontal="center" vertical="center" wrapText="1"/>
    </xf>
    <xf numFmtId="41" fontId="15" fillId="0" borderId="7" xfId="11" applyFont="1" applyBorder="1" applyAlignment="1">
      <alignment horizontal="center" vertical="center" wrapText="1"/>
    </xf>
    <xf numFmtId="0" fontId="9" fillId="0" borderId="7" xfId="3" applyFont="1" applyBorder="1" applyAlignment="1">
      <alignment horizontal="center" vertical="center" wrapText="1"/>
    </xf>
    <xf numFmtId="14" fontId="5" fillId="0" borderId="7" xfId="0" applyNumberFormat="1" applyFont="1" applyFill="1" applyBorder="1" applyAlignment="1">
      <alignment horizontal="center" vertical="center" wrapText="1"/>
    </xf>
    <xf numFmtId="10" fontId="2" fillId="0" borderId="7" xfId="0" applyNumberFormat="1" applyFont="1" applyBorder="1" applyAlignment="1">
      <alignment horizontal="center" vertical="center" wrapText="1"/>
    </xf>
    <xf numFmtId="0" fontId="5" fillId="0" borderId="7" xfId="0" applyFont="1" applyFill="1" applyBorder="1" applyAlignment="1">
      <alignment horizontal="center" vertical="center" wrapText="1"/>
    </xf>
    <xf numFmtId="0" fontId="18" fillId="8" borderId="7" xfId="0" applyFont="1" applyFill="1" applyBorder="1" applyAlignment="1">
      <alignment horizontal="center" vertical="center"/>
    </xf>
    <xf numFmtId="0" fontId="18" fillId="8" borderId="7" xfId="0" applyFont="1" applyFill="1" applyBorder="1" applyAlignment="1">
      <alignment horizontal="center" vertical="center" wrapText="1"/>
    </xf>
    <xf numFmtId="9" fontId="19" fillId="4" borderId="7" xfId="12" applyFont="1" applyFill="1" applyBorder="1" applyAlignment="1">
      <alignment horizontal="center" vertical="center"/>
    </xf>
    <xf numFmtId="9" fontId="5" fillId="0" borderId="7" xfId="0" applyNumberFormat="1" applyFont="1" applyFill="1" applyBorder="1" applyAlignment="1">
      <alignment horizontal="center" vertical="center" wrapText="1"/>
    </xf>
    <xf numFmtId="0" fontId="0" fillId="0" borderId="7" xfId="0" applyFont="1" applyBorder="1"/>
    <xf numFmtId="0" fontId="20" fillId="8" borderId="7" xfId="0" applyFont="1" applyFill="1" applyBorder="1" applyAlignment="1">
      <alignment horizontal="center" vertical="center"/>
    </xf>
    <xf numFmtId="0" fontId="20" fillId="8" borderId="7" xfId="0" applyFont="1" applyFill="1" applyBorder="1" applyAlignment="1">
      <alignment horizontal="center" vertical="center" wrapText="1"/>
    </xf>
    <xf numFmtId="9" fontId="19" fillId="4" borderId="7" xfId="12" applyFont="1" applyFill="1" applyBorder="1" applyAlignment="1">
      <alignment horizontal="center" vertical="center" wrapText="1"/>
    </xf>
    <xf numFmtId="9" fontId="5" fillId="4" borderId="7" xfId="12" applyFont="1" applyFill="1" applyBorder="1" applyAlignment="1">
      <alignment horizontal="center" vertical="center"/>
    </xf>
    <xf numFmtId="9" fontId="5" fillId="0" borderId="7" xfId="12" applyFont="1" applyFill="1" applyBorder="1" applyAlignment="1">
      <alignment horizontal="center" vertical="center"/>
    </xf>
    <xf numFmtId="9" fontId="9" fillId="0" borderId="7" xfId="12" applyFont="1" applyBorder="1" applyAlignment="1">
      <alignment horizontal="center" vertical="center" wrapText="1"/>
    </xf>
    <xf numFmtId="9" fontId="9" fillId="0" borderId="7" xfId="12" applyFont="1" applyFill="1" applyBorder="1" applyAlignment="1">
      <alignment horizontal="center" vertical="center" wrapText="1"/>
    </xf>
    <xf numFmtId="0" fontId="0" fillId="0" borderId="0" xfId="0" applyFont="1" applyAlignment="1">
      <alignment horizontal="center" vertical="center"/>
    </xf>
    <xf numFmtId="9" fontId="5" fillId="0" borderId="7" xfId="12" applyFont="1" applyFill="1" applyBorder="1" applyAlignment="1">
      <alignment horizontal="center" vertical="center" wrapText="1"/>
    </xf>
    <xf numFmtId="41" fontId="5" fillId="0" borderId="7" xfId="15" applyFont="1" applyFill="1" applyBorder="1" applyAlignment="1">
      <alignment horizontal="center" vertical="center" wrapText="1"/>
    </xf>
    <xf numFmtId="0" fontId="0" fillId="0" borderId="7" xfId="0" applyFont="1" applyBorder="1" applyAlignment="1">
      <alignment vertical="center" wrapText="1"/>
    </xf>
    <xf numFmtId="41" fontId="5" fillId="0" borderId="7" xfId="15" applyFont="1" applyFill="1" applyBorder="1" applyAlignment="1">
      <alignment horizontal="right" vertical="center" wrapText="1"/>
    </xf>
    <xf numFmtId="9" fontId="5" fillId="0" borderId="7" xfId="12" applyFont="1" applyFill="1" applyBorder="1" applyAlignment="1">
      <alignment horizontal="right" vertical="center" wrapText="1"/>
    </xf>
    <xf numFmtId="10" fontId="2" fillId="0" borderId="7" xfId="0" applyNumberFormat="1" applyFont="1" applyFill="1" applyBorder="1" applyAlignment="1">
      <alignment horizontal="center" vertical="center" wrapText="1"/>
    </xf>
    <xf numFmtId="10" fontId="2" fillId="0" borderId="7" xfId="0" applyNumberFormat="1" applyFont="1" applyBorder="1" applyAlignment="1">
      <alignment horizontal="left" vertical="center" wrapText="1"/>
    </xf>
    <xf numFmtId="166" fontId="2" fillId="0" borderId="7" xfId="12" applyNumberFormat="1" applyFont="1" applyFill="1" applyBorder="1" applyAlignment="1">
      <alignment horizontal="center" vertical="center" wrapText="1"/>
    </xf>
    <xf numFmtId="9" fontId="19" fillId="0" borderId="7" xfId="3" applyNumberFormat="1" applyFont="1" applyBorder="1" applyAlignment="1">
      <alignment horizontal="center" vertical="center"/>
    </xf>
    <xf numFmtId="9" fontId="21" fillId="0" borderId="0" xfId="0" applyNumberFormat="1" applyFont="1" applyAlignment="1">
      <alignment horizontal="center" vertical="center"/>
    </xf>
    <xf numFmtId="0" fontId="2" fillId="0" borderId="7" xfId="0" applyFont="1" applyBorder="1" applyAlignment="1">
      <alignment vertical="top" wrapText="1"/>
    </xf>
    <xf numFmtId="0" fontId="2" fillId="0" borderId="7" xfId="0" applyFont="1" applyBorder="1" applyAlignment="1">
      <alignment horizontal="left" vertical="top" wrapText="1"/>
    </xf>
    <xf numFmtId="0" fontId="2" fillId="0" borderId="7" xfId="0" applyFont="1" applyFill="1" applyBorder="1" applyAlignment="1">
      <alignment vertical="top" wrapText="1"/>
    </xf>
    <xf numFmtId="170" fontId="5" fillId="0" borderId="7" xfId="11" applyNumberFormat="1" applyFont="1" applyFill="1" applyBorder="1" applyAlignment="1">
      <alignment horizontal="center" vertical="center" wrapText="1"/>
    </xf>
    <xf numFmtId="171" fontId="5" fillId="0" borderId="7" xfId="11" applyNumberFormat="1" applyFont="1" applyFill="1" applyBorder="1" applyAlignment="1">
      <alignment horizontal="center" vertical="center" wrapText="1"/>
    </xf>
    <xf numFmtId="172" fontId="0" fillId="0" borderId="7" xfId="11" applyNumberFormat="1" applyFont="1" applyBorder="1" applyAlignment="1">
      <alignment horizontal="center" vertical="center"/>
    </xf>
    <xf numFmtId="172" fontId="5" fillId="0" borderId="7" xfId="11" applyNumberFormat="1" applyFont="1" applyFill="1" applyBorder="1" applyAlignment="1">
      <alignment horizontal="center" vertical="center" wrapText="1"/>
    </xf>
    <xf numFmtId="9" fontId="0" fillId="4" borderId="7" xfId="0" applyNumberFormat="1" applyFont="1" applyFill="1" applyBorder="1" applyAlignment="1">
      <alignment horizontal="center" vertical="center"/>
    </xf>
    <xf numFmtId="0" fontId="0" fillId="0" borderId="7" xfId="0" applyFont="1" applyBorder="1" applyAlignment="1">
      <alignment vertical="top" wrapText="1"/>
    </xf>
    <xf numFmtId="0" fontId="0" fillId="0" borderId="7" xfId="0" applyFont="1" applyFill="1" applyBorder="1" applyAlignment="1">
      <alignment vertical="center" wrapText="1"/>
    </xf>
    <xf numFmtId="9" fontId="15" fillId="0" borderId="7" xfId="12" applyFont="1" applyFill="1" applyBorder="1" applyAlignment="1">
      <alignment horizontal="center" vertical="center" wrapText="1"/>
    </xf>
    <xf numFmtId="9" fontId="15" fillId="0" borderId="7" xfId="12" applyFont="1" applyBorder="1" applyAlignment="1">
      <alignment horizontal="center" vertical="center" wrapText="1"/>
    </xf>
    <xf numFmtId="0" fontId="0" fillId="0" borderId="7" xfId="0" applyFont="1" applyBorder="1" applyAlignment="1">
      <alignment wrapText="1"/>
    </xf>
    <xf numFmtId="9" fontId="5" fillId="0" borderId="7" xfId="0" applyNumberFormat="1" applyFont="1" applyFill="1" applyBorder="1" applyAlignment="1">
      <alignment horizontal="center" vertical="center" wrapText="1"/>
    </xf>
    <xf numFmtId="10" fontId="2" fillId="0" borderId="7" xfId="0" applyNumberFormat="1" applyFont="1" applyBorder="1" applyAlignment="1">
      <alignment horizontal="center" vertical="center" wrapText="1"/>
    </xf>
    <xf numFmtId="10" fontId="2" fillId="0" borderId="7" xfId="0" applyNumberFormat="1" applyFont="1" applyBorder="1" applyAlignment="1">
      <alignment horizontal="left" vertical="center" wrapText="1"/>
    </xf>
    <xf numFmtId="0" fontId="5" fillId="0" borderId="7" xfId="0" applyFont="1" applyFill="1" applyBorder="1" applyAlignment="1">
      <alignment horizontal="center" vertical="center" wrapText="1"/>
    </xf>
    <xf numFmtId="9" fontId="5" fillId="0" borderId="7" xfId="0" applyNumberFormat="1" applyFont="1" applyFill="1" applyBorder="1" applyAlignment="1">
      <alignment horizontal="center" vertical="center" wrapText="1"/>
    </xf>
    <xf numFmtId="9" fontId="15" fillId="0" borderId="7" xfId="7" applyFont="1" applyFill="1" applyBorder="1" applyAlignment="1">
      <alignment horizontal="center" vertical="center" wrapText="1"/>
    </xf>
    <xf numFmtId="9" fontId="5" fillId="4" borderId="7" xfId="12" applyNumberFormat="1" applyFont="1" applyFill="1" applyBorder="1" applyAlignment="1">
      <alignment horizontal="center" vertical="center" wrapText="1"/>
    </xf>
    <xf numFmtId="9" fontId="0" fillId="0" borderId="7" xfId="12" applyNumberFormat="1" applyFont="1" applyBorder="1" applyAlignment="1">
      <alignment horizontal="center" vertical="center"/>
    </xf>
    <xf numFmtId="9" fontId="0" fillId="4" borderId="7" xfId="12" applyNumberFormat="1" applyFont="1" applyFill="1" applyBorder="1" applyAlignment="1">
      <alignment horizontal="center" vertical="center"/>
    </xf>
    <xf numFmtId="9" fontId="0" fillId="0" borderId="0" xfId="0" applyNumberFormat="1" applyFont="1" applyAlignment="1">
      <alignment horizontal="center" vertical="center"/>
    </xf>
    <xf numFmtId="9" fontId="2" fillId="0" borderId="7" xfId="0" applyNumberFormat="1" applyFont="1" applyBorder="1" applyAlignment="1">
      <alignment horizontal="center" vertical="center" wrapText="1"/>
    </xf>
    <xf numFmtId="9" fontId="21" fillId="0" borderId="7" xfId="0" applyNumberFormat="1" applyFont="1" applyBorder="1" applyAlignment="1">
      <alignment horizontal="center" vertical="center"/>
    </xf>
    <xf numFmtId="9" fontId="5" fillId="0" borderId="7" xfId="0" applyNumberFormat="1" applyFont="1" applyBorder="1" applyAlignment="1">
      <alignment horizontal="center" vertical="center"/>
    </xf>
    <xf numFmtId="0" fontId="9" fillId="4" borderId="7"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0" xfId="0" applyFont="1" applyAlignment="1">
      <alignment horizontal="center" vertical="center" wrapText="1"/>
    </xf>
    <xf numFmtId="9" fontId="19" fillId="0" borderId="7" xfId="12" applyFont="1" applyFill="1" applyBorder="1" applyAlignment="1">
      <alignment horizontal="center" vertical="center" wrapText="1"/>
    </xf>
    <xf numFmtId="9" fontId="25" fillId="0" borderId="7" xfId="12" applyFont="1" applyFill="1" applyBorder="1" applyAlignment="1">
      <alignment horizontal="center" vertical="center" wrapText="1"/>
    </xf>
    <xf numFmtId="0" fontId="0" fillId="0" borderId="7" xfId="0" applyFont="1" applyBorder="1" applyAlignment="1">
      <alignment horizontal="left" vertical="top" wrapText="1"/>
    </xf>
    <xf numFmtId="0" fontId="0" fillId="0" borderId="7" xfId="0" applyFont="1" applyBorder="1" applyAlignment="1">
      <alignment vertical="top"/>
    </xf>
    <xf numFmtId="0" fontId="5" fillId="0" borderId="7" xfId="0" applyFont="1" applyFill="1" applyBorder="1" applyAlignment="1">
      <alignment vertical="center" wrapText="1"/>
    </xf>
    <xf numFmtId="9" fontId="5" fillId="0" borderId="13" xfId="12" applyFont="1" applyFill="1" applyBorder="1" applyAlignment="1">
      <alignment horizontal="center" vertical="center"/>
    </xf>
    <xf numFmtId="9" fontId="5" fillId="0" borderId="7" xfId="12" applyFont="1" applyBorder="1" applyAlignment="1">
      <alignment horizontal="center" vertical="center"/>
    </xf>
    <xf numFmtId="9" fontId="0" fillId="0" borderId="7" xfId="7" applyFont="1" applyBorder="1" applyAlignment="1">
      <alignment horizontal="center" vertical="center" wrapText="1"/>
    </xf>
    <xf numFmtId="9" fontId="15" fillId="0" borderId="7" xfId="7" applyFont="1" applyBorder="1" applyAlignment="1">
      <alignment horizontal="center" vertical="center" wrapText="1"/>
    </xf>
    <xf numFmtId="0" fontId="2" fillId="0" borderId="7" xfId="0" applyFont="1" applyBorder="1" applyAlignment="1">
      <alignment horizontal="center" vertical="center" wrapText="1"/>
    </xf>
    <xf numFmtId="9" fontId="5" fillId="0" borderId="7" xfId="0" applyNumberFormat="1" applyFont="1" applyFill="1" applyBorder="1" applyAlignment="1">
      <alignment horizontal="center" vertical="center" wrapText="1"/>
    </xf>
    <xf numFmtId="10" fontId="2" fillId="0" borderId="7" xfId="0" applyNumberFormat="1" applyFont="1" applyBorder="1" applyAlignment="1">
      <alignment horizontal="center" vertical="center" wrapText="1"/>
    </xf>
    <xf numFmtId="10" fontId="2" fillId="0" borderId="7" xfId="0" applyNumberFormat="1" applyFont="1" applyBorder="1" applyAlignment="1">
      <alignment horizontal="left" vertical="center" wrapText="1"/>
    </xf>
    <xf numFmtId="10" fontId="2" fillId="0" borderId="7" xfId="0" applyNumberFormat="1" applyFont="1" applyFill="1" applyBorder="1" applyAlignment="1">
      <alignment horizontal="center" vertical="center" wrapText="1"/>
    </xf>
    <xf numFmtId="9" fontId="15" fillId="0" borderId="7" xfId="0" applyNumberFormat="1" applyFont="1" applyFill="1" applyBorder="1" applyAlignment="1">
      <alignment horizontal="center" vertical="center" wrapText="1"/>
    </xf>
    <xf numFmtId="0" fontId="0" fillId="0" borderId="7" xfId="0" applyFont="1" applyBorder="1" applyAlignment="1">
      <alignment horizontal="left" vertical="center" wrapText="1"/>
    </xf>
    <xf numFmtId="0" fontId="0" fillId="0" borderId="7" xfId="0" applyFont="1" applyBorder="1" applyAlignment="1">
      <alignment horizontal="center" vertical="center" wrapText="1"/>
    </xf>
    <xf numFmtId="9" fontId="0" fillId="0" borderId="7" xfId="7"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9" fontId="20" fillId="11" borderId="7" xfId="7" applyFont="1" applyFill="1" applyBorder="1" applyAlignment="1">
      <alignment horizontal="center" vertical="center" wrapText="1" readingOrder="1"/>
    </xf>
    <xf numFmtId="0" fontId="11" fillId="11" borderId="7" xfId="0" applyFont="1" applyFill="1" applyBorder="1" applyAlignment="1">
      <alignment horizontal="center" vertical="center" wrapText="1"/>
    </xf>
    <xf numFmtId="9" fontId="20" fillId="11" borderId="8" xfId="7" applyFont="1" applyFill="1" applyBorder="1" applyAlignment="1">
      <alignment horizontal="center" vertical="center" wrapText="1" readingOrder="1"/>
    </xf>
    <xf numFmtId="9" fontId="15" fillId="0" borderId="16" xfId="0" applyNumberFormat="1" applyFont="1" applyFill="1" applyBorder="1" applyAlignment="1">
      <alignment horizontal="center" vertical="center" wrapText="1"/>
    </xf>
    <xf numFmtId="166" fontId="0" fillId="0" borderId="7" xfId="12" applyNumberFormat="1" applyFont="1" applyBorder="1" applyAlignment="1">
      <alignment horizontal="center" vertical="center"/>
    </xf>
    <xf numFmtId="166" fontId="0" fillId="0" borderId="7" xfId="12" applyNumberFormat="1" applyFont="1" applyBorder="1" applyAlignment="1">
      <alignment horizontal="center" vertical="center" wrapText="1"/>
    </xf>
    <xf numFmtId="10" fontId="0" fillId="0" borderId="7" xfId="12" applyNumberFormat="1" applyFont="1" applyBorder="1" applyAlignment="1">
      <alignment horizontal="center" vertical="center"/>
    </xf>
    <xf numFmtId="0" fontId="2" fillId="0" borderId="7" xfId="0" applyFont="1" applyBorder="1" applyAlignment="1">
      <alignment vertical="center" wrapText="1"/>
    </xf>
    <xf numFmtId="9" fontId="0" fillId="0" borderId="7" xfId="12" applyFont="1" applyBorder="1" applyAlignment="1">
      <alignment horizontal="center" vertical="center" wrapText="1"/>
    </xf>
    <xf numFmtId="10" fontId="0" fillId="0" borderId="7" xfId="12" applyNumberFormat="1" applyFont="1" applyBorder="1" applyAlignment="1">
      <alignment horizontal="center" vertical="center" wrapText="1"/>
    </xf>
    <xf numFmtId="0" fontId="14" fillId="0" borderId="7" xfId="0" applyFont="1" applyBorder="1" applyAlignment="1">
      <alignment horizontal="center" vertical="center"/>
    </xf>
    <xf numFmtId="3" fontId="30" fillId="0" borderId="1" xfId="3" applyNumberFormat="1" applyFont="1" applyFill="1" applyBorder="1" applyAlignment="1">
      <alignment horizontal="center" vertical="center"/>
    </xf>
    <xf numFmtId="0" fontId="2" fillId="0" borderId="7" xfId="0" applyFont="1" applyFill="1" applyBorder="1" applyAlignment="1">
      <alignment horizontal="left" vertical="center" wrapText="1"/>
    </xf>
    <xf numFmtId="9" fontId="2" fillId="0" borderId="7" xfId="0" applyNumberFormat="1" applyFont="1" applyFill="1" applyBorder="1" applyAlignment="1">
      <alignment horizontal="center" vertical="center" wrapText="1"/>
    </xf>
    <xf numFmtId="9" fontId="2" fillId="0" borderId="7" xfId="12" applyFont="1" applyFill="1" applyBorder="1" applyAlignment="1">
      <alignment horizontal="center" vertical="center" wrapText="1"/>
    </xf>
    <xf numFmtId="9" fontId="0" fillId="0" borderId="7" xfId="0" applyNumberFormat="1" applyFont="1" applyFill="1" applyBorder="1" applyAlignment="1">
      <alignment horizontal="center" vertical="center"/>
    </xf>
    <xf numFmtId="9" fontId="0" fillId="0" borderId="7" xfId="0" applyNumberFormat="1" applyFont="1" applyFill="1" applyBorder="1" applyAlignment="1">
      <alignment horizontal="center" vertical="center" wrapText="1"/>
    </xf>
    <xf numFmtId="9" fontId="0" fillId="0" borderId="7" xfId="12" applyFont="1" applyFill="1" applyBorder="1" applyAlignment="1">
      <alignment horizontal="center" vertical="center"/>
    </xf>
    <xf numFmtId="0" fontId="2" fillId="0" borderId="7" xfId="0" applyFont="1" applyFill="1" applyBorder="1" applyAlignment="1">
      <alignment horizontal="left" vertical="top" wrapText="1"/>
    </xf>
    <xf numFmtId="0" fontId="2" fillId="0" borderId="7" xfId="0" applyFont="1" applyFill="1" applyBorder="1" applyAlignment="1">
      <alignment vertical="top"/>
    </xf>
    <xf numFmtId="9" fontId="0" fillId="0" borderId="0" xfId="12" applyFont="1" applyFill="1" applyAlignment="1">
      <alignment horizontal="center" vertical="center"/>
    </xf>
    <xf numFmtId="9" fontId="31" fillId="0" borderId="7" xfId="7" applyFont="1" applyFill="1" applyBorder="1" applyAlignment="1">
      <alignment horizontal="left" vertical="center"/>
    </xf>
    <xf numFmtId="0" fontId="32" fillId="0" borderId="7" xfId="0" applyFont="1" applyFill="1" applyBorder="1" applyAlignment="1">
      <alignment horizontal="left" vertical="center" wrapText="1"/>
    </xf>
    <xf numFmtId="9" fontId="31" fillId="0" borderId="7" xfId="0" applyNumberFormat="1" applyFont="1" applyFill="1" applyBorder="1" applyAlignment="1">
      <alignment horizontal="left" vertical="center"/>
    </xf>
    <xf numFmtId="9" fontId="32" fillId="0" borderId="16" xfId="0" applyNumberFormat="1" applyFont="1" applyFill="1" applyBorder="1" applyAlignment="1">
      <alignment horizontal="left" vertical="center"/>
    </xf>
    <xf numFmtId="0" fontId="32" fillId="0" borderId="16" xfId="0" applyFont="1" applyFill="1" applyBorder="1" applyAlignment="1">
      <alignment horizontal="left" vertical="center" wrapText="1"/>
    </xf>
    <xf numFmtId="9" fontId="32" fillId="0" borderId="16" xfId="0" applyNumberFormat="1" applyFont="1" applyFill="1" applyBorder="1" applyAlignment="1">
      <alignment horizontal="left" vertical="center" wrapText="1"/>
    </xf>
    <xf numFmtId="9" fontId="32" fillId="0" borderId="0" xfId="0" applyNumberFormat="1" applyFont="1" applyFill="1" applyAlignment="1">
      <alignment horizontal="left" vertical="center"/>
    </xf>
    <xf numFmtId="0" fontId="31" fillId="0" borderId="7" xfId="0" applyFont="1" applyFill="1" applyBorder="1" applyAlignment="1">
      <alignment horizontal="left" vertical="center" wrapText="1"/>
    </xf>
    <xf numFmtId="9" fontId="31" fillId="0" borderId="7" xfId="7" applyNumberFormat="1" applyFont="1" applyFill="1" applyBorder="1" applyAlignment="1">
      <alignment horizontal="left" vertical="center"/>
    </xf>
    <xf numFmtId="0" fontId="32" fillId="0" borderId="16" xfId="0" applyFont="1" applyFill="1" applyBorder="1" applyAlignment="1">
      <alignment horizontal="left" vertical="center"/>
    </xf>
    <xf numFmtId="9" fontId="32" fillId="0" borderId="16" xfId="7" applyNumberFormat="1" applyFont="1" applyFill="1" applyBorder="1" applyAlignment="1">
      <alignment horizontal="left" vertical="center"/>
    </xf>
    <xf numFmtId="9" fontId="0" fillId="0" borderId="7" xfId="0" applyNumberFormat="1" applyFont="1" applyBorder="1" applyAlignment="1">
      <alignment horizontal="center" vertical="center" wrapText="1"/>
    </xf>
    <xf numFmtId="0" fontId="2" fillId="0" borderId="7" xfId="0" applyFont="1" applyBorder="1" applyAlignment="1">
      <alignment wrapText="1"/>
    </xf>
    <xf numFmtId="9" fontId="15" fillId="0" borderId="7" xfId="15" applyNumberFormat="1" applyFont="1" applyFill="1" applyBorder="1" applyAlignment="1">
      <alignment horizontal="center" vertical="center" wrapText="1"/>
    </xf>
    <xf numFmtId="0" fontId="2" fillId="0" borderId="7" xfId="0" applyFont="1" applyFill="1" applyBorder="1" applyAlignment="1">
      <alignment horizontal="center" wrapText="1"/>
    </xf>
    <xf numFmtId="0" fontId="0" fillId="0" borderId="7" xfId="0" applyFont="1" applyFill="1" applyBorder="1" applyAlignment="1">
      <alignment wrapText="1"/>
    </xf>
    <xf numFmtId="9" fontId="25" fillId="4" borderId="7" xfId="12" applyFont="1" applyFill="1"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center" vertical="center" wrapText="1"/>
    </xf>
    <xf numFmtId="0" fontId="0" fillId="0" borderId="8" xfId="0" applyBorder="1" applyAlignment="1">
      <alignment horizontal="center" vertical="center" wrapText="1"/>
    </xf>
    <xf numFmtId="0" fontId="2" fillId="0" borderId="0" xfId="0" applyFont="1" applyAlignment="1">
      <alignment horizontal="center" vertical="center" wrapText="1"/>
    </xf>
    <xf numFmtId="0" fontId="0" fillId="0" borderId="7" xfId="0" applyFont="1" applyBorder="1" applyAlignment="1">
      <alignment horizontal="center"/>
    </xf>
    <xf numFmtId="9" fontId="6" fillId="11" borderId="7" xfId="0" applyNumberFormat="1" applyFont="1" applyFill="1" applyBorder="1" applyAlignment="1">
      <alignment horizontal="center" vertical="center"/>
    </xf>
    <xf numFmtId="0" fontId="0" fillId="0" borderId="0" xfId="0" applyFont="1" applyBorder="1"/>
    <xf numFmtId="0" fontId="35" fillId="11" borderId="7" xfId="0" applyFont="1" applyFill="1" applyBorder="1" applyAlignment="1">
      <alignment horizontal="center" vertical="center" wrapText="1"/>
    </xf>
    <xf numFmtId="0" fontId="6" fillId="11" borderId="7" xfId="0" applyFont="1" applyFill="1" applyBorder="1" applyAlignment="1">
      <alignment horizontal="center" vertical="center" wrapText="1"/>
    </xf>
    <xf numFmtId="9" fontId="6" fillId="11" borderId="7" xfId="3" applyNumberFormat="1" applyFont="1" applyFill="1" applyBorder="1" applyAlignment="1">
      <alignment horizontal="center" vertical="center" wrapText="1"/>
    </xf>
    <xf numFmtId="9" fontId="11" fillId="11" borderId="7" xfId="12" applyFont="1" applyFill="1" applyBorder="1" applyAlignment="1">
      <alignment horizontal="center" vertical="center" wrapText="1"/>
    </xf>
    <xf numFmtId="0" fontId="5" fillId="0" borderId="0" xfId="0" applyFont="1"/>
    <xf numFmtId="9" fontId="6" fillId="11" borderId="7" xfId="7" applyFont="1" applyFill="1" applyBorder="1" applyAlignment="1">
      <alignment horizontal="center" vertical="center"/>
    </xf>
    <xf numFmtId="9" fontId="6" fillId="11" borderId="7" xfId="3" applyNumberFormat="1" applyFont="1" applyFill="1" applyBorder="1" applyAlignment="1">
      <alignment horizontal="center" vertical="center"/>
    </xf>
    <xf numFmtId="9" fontId="6" fillId="11" borderId="7" xfId="7" applyFont="1" applyFill="1" applyBorder="1" applyAlignment="1">
      <alignment horizontal="center" vertical="center" wrapText="1" readingOrder="1"/>
    </xf>
    <xf numFmtId="9" fontId="6" fillId="11" borderId="15" xfId="12" applyFont="1" applyFill="1" applyBorder="1" applyAlignment="1">
      <alignment horizontal="center" vertical="center"/>
    </xf>
    <xf numFmtId="0" fontId="0" fillId="0" borderId="15" xfId="0" applyBorder="1"/>
    <xf numFmtId="0" fontId="0" fillId="0" borderId="8" xfId="0" applyBorder="1"/>
    <xf numFmtId="0" fontId="0" fillId="0" borderId="17" xfId="0" applyBorder="1"/>
    <xf numFmtId="9" fontId="26" fillId="11" borderId="7" xfId="0" applyNumberFormat="1" applyFont="1" applyFill="1" applyBorder="1" applyAlignment="1">
      <alignment horizontal="center" vertical="center"/>
    </xf>
    <xf numFmtId="9" fontId="36" fillId="0" borderId="7" xfId="12" applyFont="1" applyFill="1" applyBorder="1" applyAlignment="1">
      <alignment horizontal="center" vertical="center" wrapText="1" readingOrder="1"/>
    </xf>
    <xf numFmtId="0" fontId="26" fillId="0" borderId="0" xfId="0" applyFont="1"/>
    <xf numFmtId="9" fontId="20" fillId="0" borderId="7" xfId="12" applyFont="1" applyFill="1" applyBorder="1" applyAlignment="1">
      <alignment horizontal="center" vertical="center" wrapText="1" readingOrder="1"/>
    </xf>
    <xf numFmtId="0" fontId="37" fillId="0" borderId="0" xfId="0" applyFont="1"/>
    <xf numFmtId="9" fontId="20" fillId="11" borderId="7" xfId="12" applyFont="1" applyFill="1" applyBorder="1" applyAlignment="1">
      <alignment vertical="center" wrapText="1" readingOrder="1"/>
    </xf>
    <xf numFmtId="9" fontId="20" fillId="11" borderId="7" xfId="12" applyFont="1" applyFill="1" applyBorder="1" applyAlignment="1">
      <alignment horizontal="center" vertical="center" wrapText="1" readingOrder="1"/>
    </xf>
    <xf numFmtId="0" fontId="26" fillId="0" borderId="7" xfId="0" applyFont="1" applyBorder="1"/>
    <xf numFmtId="9" fontId="5" fillId="0" borderId="7" xfId="0" applyNumberFormat="1" applyFont="1" applyFill="1" applyBorder="1" applyAlignment="1">
      <alignment horizontal="center" vertical="center" wrapText="1"/>
    </xf>
    <xf numFmtId="9" fontId="15" fillId="0" borderId="7"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9" fontId="15" fillId="0" borderId="7" xfId="15" applyNumberFormat="1" applyFont="1" applyFill="1" applyBorder="1" applyAlignment="1">
      <alignment horizontal="center" vertical="center" wrapText="1"/>
    </xf>
    <xf numFmtId="9" fontId="5" fillId="0" borderId="7" xfId="0" applyNumberFormat="1" applyFont="1" applyFill="1" applyBorder="1" applyAlignment="1">
      <alignment horizontal="center" vertical="center"/>
    </xf>
    <xf numFmtId="0" fontId="0" fillId="0" borderId="7" xfId="0" applyFont="1" applyFill="1" applyBorder="1"/>
    <xf numFmtId="9" fontId="5" fillId="0" borderId="8" xfId="7" applyFont="1" applyFill="1" applyBorder="1" applyAlignment="1">
      <alignment horizontal="center" vertical="center"/>
    </xf>
    <xf numFmtId="0" fontId="5" fillId="0" borderId="7" xfId="3" applyFont="1" applyFill="1" applyBorder="1" applyAlignment="1">
      <alignment horizontal="center" vertical="center" wrapText="1"/>
    </xf>
    <xf numFmtId="9" fontId="40" fillId="0" borderId="7" xfId="0" applyNumberFormat="1" applyFont="1" applyFill="1" applyBorder="1" applyAlignment="1">
      <alignment horizontal="center" vertical="center" wrapText="1"/>
    </xf>
    <xf numFmtId="0" fontId="2" fillId="0" borderId="7" xfId="0" applyFont="1" applyFill="1" applyBorder="1" applyAlignment="1">
      <alignment horizontal="justify" vertical="top" wrapText="1"/>
    </xf>
    <xf numFmtId="0" fontId="2" fillId="0" borderId="7" xfId="0" applyFont="1" applyBorder="1" applyAlignment="1">
      <alignment horizontal="justify" vertical="center" wrapText="1"/>
    </xf>
    <xf numFmtId="0" fontId="2" fillId="0" borderId="7" xfId="0" applyFont="1" applyBorder="1" applyAlignment="1">
      <alignment horizontal="justify" vertical="center"/>
    </xf>
    <xf numFmtId="0" fontId="2" fillId="0" borderId="7" xfId="0" applyFont="1" applyFill="1" applyBorder="1" applyAlignment="1">
      <alignment vertical="center" wrapText="1"/>
    </xf>
    <xf numFmtId="0" fontId="2" fillId="0" borderId="16" xfId="0" applyFont="1" applyBorder="1" applyAlignment="1">
      <alignment vertical="top" wrapText="1"/>
    </xf>
    <xf numFmtId="0" fontId="2" fillId="0" borderId="16" xfId="0" applyFont="1" applyFill="1" applyBorder="1" applyAlignment="1">
      <alignment vertical="top" wrapText="1"/>
    </xf>
    <xf numFmtId="0" fontId="32" fillId="0" borderId="7" xfId="0" applyFont="1" applyFill="1" applyBorder="1" applyAlignment="1">
      <alignment vertical="top" wrapText="1"/>
    </xf>
    <xf numFmtId="0" fontId="41" fillId="0" borderId="0" xfId="0" applyFont="1" applyAlignment="1">
      <alignment vertical="top" wrapText="1"/>
    </xf>
    <xf numFmtId="0" fontId="31" fillId="0" borderId="7" xfId="0" applyFont="1" applyFill="1" applyBorder="1" applyAlignment="1">
      <alignment vertical="top" wrapText="1"/>
    </xf>
    <xf numFmtId="0" fontId="32" fillId="0" borderId="16" xfId="0" applyFont="1" applyFill="1" applyBorder="1" applyAlignment="1">
      <alignment vertical="top" wrapText="1"/>
    </xf>
    <xf numFmtId="9" fontId="0" fillId="0" borderId="0" xfId="12" applyFont="1" applyAlignment="1">
      <alignment horizontal="center" vertical="center"/>
    </xf>
    <xf numFmtId="9" fontId="5" fillId="0" borderId="7" xfId="12" applyFont="1" applyBorder="1" applyAlignment="1">
      <alignment horizontal="center" vertical="center" wrapText="1"/>
    </xf>
    <xf numFmtId="9" fontId="5" fillId="4" borderId="1" xfId="12" applyFont="1" applyFill="1" applyBorder="1" applyAlignment="1">
      <alignment horizontal="center" vertical="center" wrapText="1"/>
    </xf>
    <xf numFmtId="9" fontId="5" fillId="0" borderId="7" xfId="0" applyNumberFormat="1" applyFont="1" applyFill="1" applyBorder="1" applyAlignment="1">
      <alignment horizontal="center" vertical="center"/>
    </xf>
    <xf numFmtId="9" fontId="5" fillId="0" borderId="7" xfId="0" applyNumberFormat="1" applyFont="1" applyFill="1" applyBorder="1" applyAlignment="1">
      <alignment horizontal="center" vertical="center" wrapText="1"/>
    </xf>
    <xf numFmtId="9" fontId="9" fillId="4" borderId="7" xfId="0" applyNumberFormat="1" applyFont="1" applyFill="1" applyBorder="1" applyAlignment="1">
      <alignment horizontal="center" vertical="center"/>
    </xf>
    <xf numFmtId="9" fontId="32" fillId="0" borderId="16" xfId="0" applyNumberFormat="1" applyFont="1" applyFill="1" applyBorder="1" applyAlignment="1">
      <alignment horizontal="center" vertical="center"/>
    </xf>
    <xf numFmtId="9" fontId="5" fillId="4" borderId="7" xfId="12" applyNumberFormat="1" applyFont="1" applyFill="1" applyBorder="1" applyAlignment="1">
      <alignment horizontal="center" vertical="center"/>
    </xf>
    <xf numFmtId="9" fontId="5" fillId="0" borderId="8" xfId="0" applyNumberFormat="1" applyFont="1" applyFill="1" applyBorder="1" applyAlignment="1">
      <alignment horizontal="center" vertical="center"/>
    </xf>
    <xf numFmtId="9" fontId="5" fillId="0" borderId="7" xfId="0" applyNumberFormat="1" applyFont="1" applyFill="1" applyBorder="1" applyAlignment="1">
      <alignment horizontal="center" vertical="center" wrapText="1"/>
    </xf>
    <xf numFmtId="9" fontId="9" fillId="4" borderId="7" xfId="12" applyFont="1" applyFill="1" applyBorder="1" applyAlignment="1">
      <alignment horizontal="center" vertical="center" wrapText="1"/>
    </xf>
    <xf numFmtId="10" fontId="26" fillId="15" borderId="0" xfId="0" applyNumberFormat="1" applyFont="1" applyFill="1" applyAlignment="1">
      <alignment horizontal="center" vertical="center"/>
    </xf>
    <xf numFmtId="10" fontId="28" fillId="15" borderId="0" xfId="0" applyNumberFormat="1" applyFont="1" applyFill="1" applyBorder="1" applyAlignment="1">
      <alignment horizontal="center" vertical="center"/>
    </xf>
    <xf numFmtId="10" fontId="28" fillId="15" borderId="0" xfId="0" applyNumberFormat="1" applyFont="1" applyFill="1" applyAlignment="1">
      <alignment horizontal="center" vertical="center"/>
    </xf>
    <xf numFmtId="9" fontId="5" fillId="0" borderId="7" xfId="0" applyNumberFormat="1" applyFont="1" applyFill="1" applyBorder="1" applyAlignment="1">
      <alignment horizontal="center" vertical="center" wrapText="1"/>
    </xf>
    <xf numFmtId="9" fontId="5" fillId="0" borderId="7" xfId="0" applyNumberFormat="1" applyFont="1" applyFill="1" applyBorder="1" applyAlignment="1">
      <alignment horizontal="center" vertical="center"/>
    </xf>
    <xf numFmtId="9" fontId="2" fillId="0" borderId="16" xfId="0" applyNumberFormat="1" applyFont="1" applyBorder="1" applyAlignment="1">
      <alignment horizontal="center" vertical="center" wrapText="1"/>
    </xf>
    <xf numFmtId="49" fontId="41" fillId="0" borderId="0" xfId="0" applyNumberFormat="1" applyFont="1" applyAlignment="1">
      <alignment horizontal="center" vertical="center"/>
    </xf>
    <xf numFmtId="9" fontId="2" fillId="0" borderId="16" xfId="0" applyNumberFormat="1" applyFont="1" applyBorder="1" applyAlignment="1">
      <alignment horizontal="center" vertical="center"/>
    </xf>
    <xf numFmtId="9" fontId="2" fillId="0" borderId="16" xfId="0" applyNumberFormat="1" applyFont="1" applyFill="1" applyBorder="1" applyAlignment="1">
      <alignment horizontal="center" vertical="center"/>
    </xf>
    <xf numFmtId="9" fontId="2" fillId="0" borderId="19" xfId="0" applyNumberFormat="1" applyFont="1" applyFill="1" applyBorder="1" applyAlignment="1">
      <alignment horizontal="center" vertical="center"/>
    </xf>
    <xf numFmtId="9" fontId="15" fillId="0" borderId="16" xfId="0" applyNumberFormat="1" applyFont="1" applyBorder="1" applyAlignment="1">
      <alignment horizontal="center" vertical="center" wrapText="1"/>
    </xf>
    <xf numFmtId="9" fontId="5" fillId="0" borderId="7" xfId="0" applyNumberFormat="1" applyFont="1" applyFill="1" applyBorder="1" applyAlignment="1">
      <alignment horizontal="center" vertical="center"/>
    </xf>
    <xf numFmtId="9" fontId="5" fillId="0" borderId="7" xfId="0" applyNumberFormat="1" applyFont="1" applyFill="1" applyBorder="1" applyAlignment="1">
      <alignment horizontal="center" vertical="center" wrapText="1"/>
    </xf>
    <xf numFmtId="10" fontId="5" fillId="0" borderId="7" xfId="0" applyNumberFormat="1" applyFont="1" applyFill="1" applyBorder="1" applyAlignment="1">
      <alignment horizontal="center" vertical="center" wrapText="1"/>
    </xf>
    <xf numFmtId="10" fontId="5" fillId="4" borderId="7" xfId="0" applyNumberFormat="1" applyFont="1" applyFill="1" applyBorder="1" applyAlignment="1">
      <alignment horizontal="center" vertical="center" wrapText="1"/>
    </xf>
    <xf numFmtId="10" fontId="5" fillId="4" borderId="7" xfId="12" applyNumberFormat="1" applyFont="1" applyFill="1" applyBorder="1" applyAlignment="1">
      <alignment horizontal="center" vertical="center" wrapText="1"/>
    </xf>
    <xf numFmtId="10" fontId="6" fillId="11" borderId="7" xfId="0" applyNumberFormat="1" applyFont="1" applyFill="1" applyBorder="1" applyAlignment="1">
      <alignment horizontal="center" vertical="center"/>
    </xf>
    <xf numFmtId="10" fontId="9" fillId="0" borderId="7" xfId="12" applyNumberFormat="1" applyFont="1" applyFill="1" applyBorder="1" applyAlignment="1">
      <alignment horizontal="center" vertical="center" wrapText="1"/>
    </xf>
    <xf numFmtId="10" fontId="5" fillId="0" borderId="7" xfId="0" applyNumberFormat="1" applyFont="1" applyFill="1" applyBorder="1" applyAlignment="1">
      <alignment horizontal="center" vertical="center"/>
    </xf>
    <xf numFmtId="10" fontId="5" fillId="4" borderId="7" xfId="12" applyNumberFormat="1" applyFont="1" applyFill="1" applyBorder="1" applyAlignment="1">
      <alignment horizontal="center" vertical="center"/>
    </xf>
    <xf numFmtId="10" fontId="5" fillId="0" borderId="7" xfId="12" applyNumberFormat="1" applyFont="1" applyFill="1" applyBorder="1" applyAlignment="1">
      <alignment horizontal="center" vertical="center"/>
    </xf>
    <xf numFmtId="0" fontId="26" fillId="0" borderId="1" xfId="0" applyFont="1" applyBorder="1"/>
    <xf numFmtId="10" fontId="0" fillId="0" borderId="1" xfId="7" applyNumberFormat="1" applyFont="1" applyBorder="1" applyAlignment="1">
      <alignment horizontal="center" vertical="center"/>
    </xf>
    <xf numFmtId="9" fontId="39" fillId="12" borderId="8" xfId="12" applyFont="1" applyFill="1" applyBorder="1" applyAlignment="1">
      <alignment horizontal="center" vertical="center" wrapText="1" readingOrder="1"/>
    </xf>
    <xf numFmtId="9" fontId="39" fillId="0" borderId="9" xfId="12" applyFont="1" applyFill="1" applyBorder="1" applyAlignment="1">
      <alignment vertical="center" wrapText="1" readingOrder="1"/>
    </xf>
    <xf numFmtId="10" fontId="38" fillId="12" borderId="7" xfId="12" applyNumberFormat="1" applyFont="1" applyFill="1" applyBorder="1" applyAlignment="1">
      <alignment horizontal="center" vertical="center" wrapText="1" readingOrder="1"/>
    </xf>
    <xf numFmtId="10" fontId="39" fillId="12" borderId="1" xfId="0" applyNumberFormat="1" applyFont="1" applyFill="1" applyBorder="1" applyAlignment="1">
      <alignment horizontal="center" vertical="center"/>
    </xf>
    <xf numFmtId="9" fontId="5" fillId="3" borderId="7" xfId="0" applyNumberFormat="1" applyFont="1" applyFill="1" applyBorder="1" applyAlignment="1">
      <alignment horizontal="center" vertical="center" wrapText="1"/>
    </xf>
    <xf numFmtId="9" fontId="9" fillId="3" borderId="7" xfId="12" applyFont="1" applyFill="1" applyBorder="1" applyAlignment="1">
      <alignment horizontal="center" vertical="center" wrapText="1"/>
    </xf>
    <xf numFmtId="9" fontId="5" fillId="4" borderId="8" xfId="7" applyFont="1" applyFill="1" applyBorder="1" applyAlignment="1">
      <alignment horizontal="center" vertical="center"/>
    </xf>
    <xf numFmtId="9" fontId="39" fillId="12" borderId="8" xfId="12" applyFont="1" applyFill="1" applyBorder="1" applyAlignment="1">
      <alignment horizontal="center" vertical="center" wrapText="1" readingOrder="1"/>
    </xf>
    <xf numFmtId="9" fontId="39" fillId="12" borderId="9" xfId="12" applyFont="1" applyFill="1" applyBorder="1" applyAlignment="1">
      <alignment horizontal="center" vertical="center" wrapText="1" readingOrder="1"/>
    </xf>
    <xf numFmtId="0" fontId="39" fillId="12" borderId="18" xfId="0" applyFont="1" applyFill="1" applyBorder="1" applyAlignment="1">
      <alignment horizontal="center" vertical="center" wrapText="1"/>
    </xf>
    <xf numFmtId="0" fontId="39" fillId="12" borderId="0" xfId="0" applyFont="1" applyFill="1" applyBorder="1" applyAlignment="1">
      <alignment horizontal="center" vertical="center" wrapText="1"/>
    </xf>
    <xf numFmtId="0" fontId="39" fillId="12" borderId="11" xfId="0" applyFont="1" applyFill="1" applyBorder="1" applyAlignment="1">
      <alignment horizontal="center" vertical="center" wrapText="1"/>
    </xf>
    <xf numFmtId="0" fontId="39" fillId="12" borderId="12" xfId="0" applyFont="1" applyFill="1" applyBorder="1" applyAlignment="1">
      <alignment horizontal="center" vertical="center" wrapText="1"/>
    </xf>
    <xf numFmtId="0" fontId="26" fillId="0" borderId="18" xfId="0" applyFont="1" applyBorder="1" applyAlignment="1">
      <alignment horizontal="center" vertical="center" textRotation="90"/>
    </xf>
    <xf numFmtId="0" fontId="7" fillId="10" borderId="7" xfId="0" applyFont="1" applyFill="1" applyBorder="1" applyAlignment="1">
      <alignment horizontal="center" vertical="center"/>
    </xf>
    <xf numFmtId="0" fontId="28" fillId="11" borderId="7" xfId="0" applyFont="1" applyFill="1" applyBorder="1" applyAlignment="1">
      <alignment horizontal="center" vertical="center" wrapText="1"/>
    </xf>
    <xf numFmtId="0" fontId="5" fillId="4" borderId="7" xfId="0" applyFont="1" applyFill="1" applyBorder="1" applyAlignment="1" applyProtection="1">
      <alignment horizontal="center" vertical="center" wrapText="1"/>
      <protection locked="0"/>
    </xf>
    <xf numFmtId="0" fontId="5" fillId="4" borderId="7" xfId="0" applyFont="1" applyFill="1" applyBorder="1" applyAlignment="1">
      <alignment horizontal="center" vertical="center" wrapText="1"/>
    </xf>
    <xf numFmtId="0" fontId="9" fillId="0" borderId="7" xfId="0" applyFont="1" applyBorder="1" applyAlignment="1">
      <alignment horizontal="left" vertical="top" wrapText="1"/>
    </xf>
    <xf numFmtId="9" fontId="5" fillId="0" borderId="7" xfId="0" applyNumberFormat="1" applyFont="1" applyFill="1" applyBorder="1" applyAlignment="1">
      <alignment horizontal="center" vertical="center"/>
    </xf>
    <xf numFmtId="0" fontId="9" fillId="0" borderId="7" xfId="0" applyFont="1" applyBorder="1" applyAlignment="1">
      <alignment horizontal="left" vertical="center" wrapText="1"/>
    </xf>
    <xf numFmtId="0" fontId="0" fillId="0" borderId="7" xfId="0" applyBorder="1" applyAlignment="1">
      <alignment horizontal="center" vertical="center" wrapText="1"/>
    </xf>
    <xf numFmtId="0" fontId="2" fillId="0" borderId="7" xfId="0" applyFont="1" applyBorder="1" applyAlignment="1">
      <alignment horizontal="center" vertical="center" wrapText="1"/>
    </xf>
    <xf numFmtId="9" fontId="5" fillId="0" borderId="7" xfId="0" applyNumberFormat="1" applyFont="1" applyFill="1" applyBorder="1" applyAlignment="1">
      <alignment horizontal="center" vertical="center" wrapText="1"/>
    </xf>
    <xf numFmtId="0" fontId="20" fillId="8"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20" fillId="8" borderId="7" xfId="0" applyFont="1" applyFill="1" applyBorder="1" applyAlignment="1">
      <alignment horizontal="center" vertical="center"/>
    </xf>
    <xf numFmtId="0" fontId="32"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8" fillId="11" borderId="7" xfId="0" applyFont="1" applyFill="1" applyBorder="1" applyAlignment="1">
      <alignment horizontal="center" vertical="center"/>
    </xf>
    <xf numFmtId="0" fontId="6" fillId="8" borderId="7" xfId="0" applyFont="1" applyFill="1" applyBorder="1" applyAlignment="1">
      <alignment horizontal="center" vertical="center" wrapText="1"/>
    </xf>
    <xf numFmtId="0" fontId="6" fillId="11" borderId="7" xfId="0" applyFont="1" applyFill="1" applyBorder="1" applyAlignment="1">
      <alignment horizontal="center" vertical="center"/>
    </xf>
    <xf numFmtId="10" fontId="2" fillId="0" borderId="7" xfId="0" applyNumberFormat="1" applyFont="1" applyBorder="1" applyAlignment="1">
      <alignment horizontal="center" vertical="center" wrapText="1"/>
    </xf>
    <xf numFmtId="10" fontId="2" fillId="0" borderId="7" xfId="0" applyNumberFormat="1" applyFont="1" applyBorder="1" applyAlignment="1">
      <alignment horizontal="left" vertical="center" wrapText="1"/>
    </xf>
    <xf numFmtId="41" fontId="0" fillId="0" borderId="7" xfId="11" applyFont="1" applyBorder="1" applyAlignment="1">
      <alignment horizontal="center" vertical="center"/>
    </xf>
    <xf numFmtId="0" fontId="7" fillId="10" borderId="11" xfId="0" applyFont="1" applyFill="1" applyBorder="1" applyAlignment="1">
      <alignment horizontal="center" vertical="center"/>
    </xf>
    <xf numFmtId="0" fontId="7" fillId="10" borderId="12" xfId="0" applyFont="1" applyFill="1" applyBorder="1" applyAlignment="1">
      <alignment horizontal="center" vertical="center"/>
    </xf>
    <xf numFmtId="0" fontId="8" fillId="8" borderId="7" xfId="0" applyFont="1" applyFill="1" applyBorder="1" applyAlignment="1">
      <alignment horizontal="center" vertical="center" wrapText="1"/>
    </xf>
    <xf numFmtId="41" fontId="8" fillId="8" borderId="7" xfId="11" applyFont="1" applyFill="1" applyBorder="1" applyAlignment="1">
      <alignment horizontal="center" vertical="center" wrapText="1"/>
    </xf>
    <xf numFmtId="0" fontId="8" fillId="8" borderId="7" xfId="0" applyFont="1" applyFill="1" applyBorder="1" applyAlignment="1">
      <alignment horizontal="center" vertical="center"/>
    </xf>
    <xf numFmtId="10" fontId="2" fillId="4" borderId="7" xfId="0" applyNumberFormat="1" applyFont="1" applyFill="1" applyBorder="1" applyAlignment="1">
      <alignment horizontal="center" vertical="center" wrapText="1"/>
    </xf>
    <xf numFmtId="0" fontId="2" fillId="4" borderId="7" xfId="0" applyFont="1" applyFill="1" applyBorder="1" applyAlignment="1">
      <alignment horizontal="center" vertical="center" wrapText="1"/>
    </xf>
    <xf numFmtId="10" fontId="2" fillId="4" borderId="7" xfId="0" applyNumberFormat="1" applyFont="1" applyFill="1" applyBorder="1" applyAlignment="1">
      <alignment horizontal="left" vertical="center" wrapText="1"/>
    </xf>
    <xf numFmtId="0" fontId="2" fillId="4" borderId="7" xfId="0" applyFont="1" applyFill="1" applyBorder="1" applyAlignment="1">
      <alignment horizontal="left" vertical="center" wrapText="1"/>
    </xf>
    <xf numFmtId="10" fontId="2" fillId="0" borderId="7"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9" fontId="15" fillId="0" borderId="7" xfId="12" applyFont="1" applyFill="1" applyBorder="1" applyAlignment="1">
      <alignment horizontal="center" vertical="center" wrapText="1"/>
    </xf>
    <xf numFmtId="9" fontId="15" fillId="0" borderId="7" xfId="0" applyNumberFormat="1" applyFont="1" applyFill="1" applyBorder="1" applyAlignment="1">
      <alignment horizontal="center" vertical="center" wrapText="1"/>
    </xf>
    <xf numFmtId="14" fontId="15" fillId="0" borderId="7" xfId="0" applyNumberFormat="1" applyFont="1" applyFill="1" applyBorder="1" applyAlignment="1">
      <alignment horizontal="center" vertical="center" wrapText="1"/>
    </xf>
    <xf numFmtId="9" fontId="2" fillId="0" borderId="7" xfId="12" applyFont="1" applyBorder="1" applyAlignment="1">
      <alignment horizontal="left" vertical="center" wrapText="1"/>
    </xf>
    <xf numFmtId="9" fontId="0" fillId="0" borderId="7" xfId="12" applyFont="1" applyBorder="1" applyAlignment="1">
      <alignment horizontal="left" vertical="center" wrapText="1"/>
    </xf>
    <xf numFmtId="0" fontId="0" fillId="0" borderId="7" xfId="0" applyFont="1" applyBorder="1" applyAlignment="1">
      <alignment horizontal="left" vertical="center" wrapText="1"/>
    </xf>
    <xf numFmtId="0" fontId="0" fillId="0" borderId="7" xfId="0" applyFont="1" applyBorder="1" applyAlignment="1">
      <alignment horizontal="center" vertical="center" wrapText="1"/>
    </xf>
    <xf numFmtId="0" fontId="0" fillId="0" borderId="7" xfId="0" applyFont="1" applyBorder="1" applyAlignment="1">
      <alignment horizontal="left" wrapText="1"/>
    </xf>
    <xf numFmtId="9" fontId="0" fillId="0" borderId="7" xfId="7" applyFont="1" applyBorder="1" applyAlignment="1">
      <alignment horizontal="center" vertical="center" wrapText="1"/>
    </xf>
    <xf numFmtId="0" fontId="0" fillId="0" borderId="7" xfId="0" applyFont="1" applyFill="1" applyBorder="1" applyAlignment="1">
      <alignment horizontal="center" vertical="center" wrapText="1"/>
    </xf>
    <xf numFmtId="9" fontId="15" fillId="0" borderId="7" xfId="7" applyFont="1" applyBorder="1" applyAlignment="1">
      <alignment horizontal="center" vertical="center" wrapText="1"/>
    </xf>
    <xf numFmtId="9" fontId="15" fillId="0" borderId="7" xfId="7" applyFont="1" applyFill="1" applyBorder="1" applyAlignment="1">
      <alignment horizontal="center" vertical="center" wrapText="1"/>
    </xf>
    <xf numFmtId="9" fontId="15" fillId="0" borderId="7" xfId="15" applyNumberFormat="1" applyFont="1" applyFill="1" applyBorder="1" applyAlignment="1">
      <alignment horizontal="center" vertical="center" wrapText="1"/>
    </xf>
    <xf numFmtId="41" fontId="15" fillId="0" borderId="7" xfId="15" applyFont="1" applyFill="1" applyBorder="1" applyAlignment="1">
      <alignment horizontal="center" vertical="center" wrapText="1"/>
    </xf>
    <xf numFmtId="9" fontId="15" fillId="0" borderId="7" xfId="15" applyNumberFormat="1" applyFont="1" applyBorder="1" applyAlignment="1">
      <alignment horizontal="center" vertical="center" wrapText="1"/>
    </xf>
    <xf numFmtId="41" fontId="15" fillId="0" borderId="7" xfId="15" applyFont="1" applyBorder="1" applyAlignment="1">
      <alignment horizontal="center" vertical="center" wrapText="1"/>
    </xf>
    <xf numFmtId="0" fontId="2" fillId="0" borderId="7" xfId="0" applyFont="1" applyBorder="1" applyAlignment="1">
      <alignment horizontal="left" vertical="center" wrapText="1"/>
    </xf>
    <xf numFmtId="0" fontId="0" fillId="0" borderId="7" xfId="0" applyBorder="1" applyAlignment="1">
      <alignment horizontal="center" vertical="center"/>
    </xf>
    <xf numFmtId="0" fontId="2" fillId="4" borderId="7" xfId="0" applyFont="1" applyFill="1" applyBorder="1" applyAlignment="1">
      <alignment horizontal="center" vertical="center"/>
    </xf>
    <xf numFmtId="14" fontId="5" fillId="0" borderId="7" xfId="0" applyNumberFormat="1" applyFont="1" applyFill="1" applyBorder="1" applyAlignment="1">
      <alignment horizontal="center" vertical="center" wrapText="1"/>
    </xf>
    <xf numFmtId="10" fontId="15" fillId="0" borderId="7" xfId="11" applyNumberFormat="1" applyFont="1" applyBorder="1" applyAlignment="1">
      <alignment horizontal="center" vertical="center" wrapText="1"/>
    </xf>
    <xf numFmtId="0" fontId="0" fillId="4" borderId="7" xfId="0" applyFont="1" applyFill="1" applyBorder="1" applyAlignment="1">
      <alignment horizontal="center" vertical="center" wrapText="1"/>
    </xf>
    <xf numFmtId="0" fontId="9" fillId="0" borderId="7" xfId="3" applyFont="1" applyBorder="1" applyAlignment="1">
      <alignment horizontal="center" vertical="center" wrapText="1"/>
    </xf>
    <xf numFmtId="0" fontId="0" fillId="4" borderId="7" xfId="0" applyFont="1" applyFill="1" applyBorder="1" applyAlignment="1">
      <alignment horizontal="center" vertical="center"/>
    </xf>
    <xf numFmtId="0" fontId="15" fillId="0" borderId="7" xfId="0" applyFont="1" applyBorder="1" applyAlignment="1">
      <alignment horizontal="center" vertical="center" wrapText="1"/>
    </xf>
    <xf numFmtId="10" fontId="15" fillId="0" borderId="7" xfId="0" applyNumberFormat="1" applyFont="1" applyBorder="1" applyAlignment="1">
      <alignment horizontal="center" vertical="center" wrapText="1"/>
    </xf>
    <xf numFmtId="9" fontId="15" fillId="0" borderId="7" xfId="0" applyNumberFormat="1" applyFont="1" applyBorder="1" applyAlignment="1">
      <alignment horizontal="center" vertical="center" wrapText="1"/>
    </xf>
    <xf numFmtId="41" fontId="15" fillId="0" borderId="7" xfId="11" applyFont="1" applyBorder="1" applyAlignment="1">
      <alignment horizontal="center" vertical="center" wrapText="1"/>
    </xf>
    <xf numFmtId="10" fontId="15" fillId="0" borderId="7" xfId="0" applyNumberFormat="1"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0" fillId="0" borderId="13" xfId="0" applyFont="1" applyBorder="1" applyAlignment="1">
      <alignment horizontal="center"/>
    </xf>
    <xf numFmtId="0" fontId="0" fillId="0" borderId="14" xfId="0" applyFont="1" applyBorder="1" applyAlignment="1">
      <alignment horizontal="center"/>
    </xf>
    <xf numFmtId="0" fontId="0" fillId="0" borderId="15" xfId="0" applyFont="1" applyBorder="1" applyAlignment="1">
      <alignment horizontal="center"/>
    </xf>
    <xf numFmtId="0" fontId="2" fillId="4" borderId="8" xfId="0" applyFont="1" applyFill="1" applyBorder="1" applyAlignment="1">
      <alignment horizontal="center" vertical="center" wrapText="1"/>
    </xf>
    <xf numFmtId="0" fontId="0" fillId="4" borderId="10" xfId="0" applyFont="1" applyFill="1" applyBorder="1" applyAlignment="1">
      <alignment horizontal="center" vertical="center" wrapText="1"/>
    </xf>
    <xf numFmtId="0" fontId="0" fillId="4" borderId="9" xfId="0" applyFont="1" applyFill="1" applyBorder="1" applyAlignment="1">
      <alignment horizontal="center" vertical="center" wrapText="1"/>
    </xf>
    <xf numFmtId="14" fontId="5" fillId="4" borderId="7" xfId="0" applyNumberFormat="1" applyFont="1" applyFill="1" applyBorder="1" applyAlignment="1">
      <alignment horizontal="center" vertical="center" wrapText="1"/>
    </xf>
    <xf numFmtId="0" fontId="5" fillId="13" borderId="7" xfId="0" applyFont="1" applyFill="1" applyBorder="1" applyAlignment="1" applyProtection="1">
      <alignment horizontal="center" vertical="center" wrapText="1"/>
      <protection locked="0"/>
    </xf>
    <xf numFmtId="0" fontId="5" fillId="14" borderId="7" xfId="0" applyFont="1" applyFill="1" applyBorder="1" applyAlignment="1" applyProtection="1">
      <alignment horizontal="center" vertical="center" wrapText="1"/>
      <protection locked="0"/>
    </xf>
    <xf numFmtId="9" fontId="20" fillId="8" borderId="7" xfId="7" applyFont="1" applyFill="1" applyBorder="1" applyAlignment="1">
      <alignment horizontal="center" vertical="center" wrapText="1"/>
    </xf>
    <xf numFmtId="0" fontId="20" fillId="11" borderId="7"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7" xfId="0" applyFont="1" applyFill="1" applyBorder="1" applyAlignment="1" applyProtection="1">
      <alignment horizontal="center" vertical="center" wrapText="1"/>
      <protection locked="0"/>
    </xf>
    <xf numFmtId="0" fontId="9" fillId="0" borderId="7" xfId="0" applyFont="1" applyBorder="1" applyAlignment="1">
      <alignment horizontal="justify" vertical="center" wrapText="1"/>
    </xf>
    <xf numFmtId="0" fontId="5" fillId="4" borderId="7" xfId="0" applyFont="1" applyFill="1" applyBorder="1" applyAlignment="1" applyProtection="1">
      <alignment horizontal="center" vertical="center"/>
      <protection locked="0"/>
    </xf>
    <xf numFmtId="0" fontId="9" fillId="0" borderId="7" xfId="0" applyFont="1" applyFill="1" applyBorder="1" applyAlignment="1">
      <alignment horizontal="justify" vertical="center" wrapText="1"/>
    </xf>
    <xf numFmtId="0" fontId="29" fillId="11" borderId="7" xfId="0" applyFont="1" applyFill="1" applyBorder="1" applyAlignment="1">
      <alignment horizontal="center" vertical="center" wrapText="1"/>
    </xf>
    <xf numFmtId="0" fontId="18" fillId="8" borderId="7" xfId="0" applyFont="1" applyFill="1" applyBorder="1" applyAlignment="1">
      <alignment horizontal="center" vertical="center" wrapText="1"/>
    </xf>
    <xf numFmtId="0" fontId="18" fillId="8" borderId="7"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7">
    <cellStyle name="Millares [0]" xfId="11" builtinId="6"/>
    <cellStyle name="Millares [0] 2" xfId="15" xr:uid="{00000000-0005-0000-0000-00003A000000}"/>
    <cellStyle name="Millares [0] 3" xfId="14" xr:uid="{00000000-0005-0000-0000-00003B000000}"/>
    <cellStyle name="Millares 2" xfId="1" xr:uid="{00000000-0005-0000-0000-000000000000}"/>
    <cellStyle name="Millares 2 2" xfId="8" xr:uid="{00000000-0005-0000-0000-000001000000}"/>
    <cellStyle name="Moneda 2" xfId="2" xr:uid="{00000000-0005-0000-0000-000002000000}"/>
    <cellStyle name="Moneda 2 2" xfId="9" xr:uid="{00000000-0005-0000-0000-000003000000}"/>
    <cellStyle name="Normal" xfId="0" builtinId="0"/>
    <cellStyle name="Normal 2" xfId="3" xr:uid="{00000000-0005-0000-0000-000005000000}"/>
    <cellStyle name="Normal 3" xfId="6" xr:uid="{00000000-0005-0000-0000-000006000000}"/>
    <cellStyle name="Normal 4" xfId="13" xr:uid="{057F7BDB-D19A-4D8D-AE85-777E54A18D47}"/>
    <cellStyle name="Porcentaje" xfId="7" builtinId="5"/>
    <cellStyle name="Porcentaje 2" xfId="12" xr:uid="{D9E16DC3-3556-4401-AA20-6ACE4C800679}"/>
    <cellStyle name="Porcentaje 3" xfId="16" xr:uid="{33E6580C-BBFA-4A46-8CEC-935A3644ACE3}"/>
    <cellStyle name="Porcentual 2" xfId="4" xr:uid="{00000000-0005-0000-0000-000008000000}"/>
    <cellStyle name="Porcentual 2 2" xfId="10" xr:uid="{00000000-0005-0000-0000-000009000000}"/>
    <cellStyle name="Porcentual 3" xfId="5" xr:uid="{00000000-0005-0000-0000-00000A000000}"/>
  </cellStyles>
  <dxfs count="0"/>
  <tableStyles count="0" defaultTableStyle="TableStyleMedium9" defaultPivotStyle="PivotStyleLight16"/>
  <colors>
    <mruColors>
      <color rgb="FFCC99FF"/>
      <color rgb="FFFF66CC"/>
      <color rgb="FF008080"/>
      <color rgb="FFFFD5FF"/>
      <color rgb="FF660066"/>
      <color rgb="FF9933FF"/>
      <color rgb="FF0099CC"/>
      <color rgb="FF862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r>
              <a:rPr lang="es-CO">
                <a:solidFill>
                  <a:sysClr val="windowText" lastClr="000000"/>
                </a:solidFill>
              </a:rPr>
              <a:t>PLAN DE ACCIÓN SECTORIAL - SEGUIMIENTO IV TRIMESTRE 2018</a:t>
            </a:r>
          </a:p>
          <a:p>
            <a:pPr>
              <a:defRPr>
                <a:solidFill>
                  <a:sysClr val="windowText" lastClr="000000"/>
                </a:solidFill>
              </a:defRPr>
            </a:pPr>
            <a:r>
              <a:rPr lang="es-CO">
                <a:solidFill>
                  <a:sysClr val="windowText" lastClr="000000"/>
                </a:solidFill>
              </a:rPr>
              <a:t>Porcentaje  de cumplimiento de las Entidades</a:t>
            </a:r>
          </a:p>
        </c:rich>
      </c:tx>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es-CO"/>
        </a:p>
      </c:txPr>
    </c:title>
    <c:autoTitleDeleted val="0"/>
    <c:plotArea>
      <c:layout/>
      <c:barChart>
        <c:barDir val="bar"/>
        <c:grouping val="clustered"/>
        <c:varyColors val="0"/>
        <c:ser>
          <c:idx val="0"/>
          <c:order val="0"/>
          <c:tx>
            <c:strRef>
              <c:f>'PORCENTAJE CUMPLIMIENTO EAV'!$B$8</c:f>
              <c:strCache>
                <c:ptCount val="1"/>
                <c:pt idx="0">
                  <c:v>Talento Humano</c:v>
                </c:pt>
              </c:strCache>
            </c:strRef>
          </c:tx>
          <c:spPr>
            <a:gradFill rotWithShape="1">
              <a:gsLst>
                <a:gs pos="0">
                  <a:schemeClr val="accent4">
                    <a:tint val="46000"/>
                    <a:shade val="51000"/>
                    <a:satMod val="130000"/>
                  </a:schemeClr>
                </a:gs>
                <a:gs pos="80000">
                  <a:schemeClr val="accent4">
                    <a:tint val="46000"/>
                    <a:shade val="93000"/>
                    <a:satMod val="130000"/>
                  </a:schemeClr>
                </a:gs>
                <a:gs pos="100000">
                  <a:schemeClr val="accent4">
                    <a:tint val="46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'PORCENTAJE CUMPLIMIENTO EAV'!$C$7:$M$7</c:f>
              <c:strCache>
                <c:ptCount val="11"/>
                <c:pt idx="0">
                  <c:v>MEN</c:v>
                </c:pt>
                <c:pt idx="1">
                  <c:v>ICFES</c:v>
                </c:pt>
                <c:pt idx="2">
                  <c:v>ICETEX</c:v>
                </c:pt>
                <c:pt idx="3">
                  <c:v>INCI</c:v>
                </c:pt>
                <c:pt idx="4">
                  <c:v>INSOR</c:v>
                </c:pt>
                <c:pt idx="5">
                  <c:v>FODESEP</c:v>
                </c:pt>
                <c:pt idx="6">
                  <c:v>INTENALCO</c:v>
                </c:pt>
                <c:pt idx="7">
                  <c:v>ETITC</c:v>
                </c:pt>
                <c:pt idx="8">
                  <c:v>INFOTEP SAN ANDRES</c:v>
                </c:pt>
                <c:pt idx="9">
                  <c:v>INFOTEP SAN JUAN DEL CESAR</c:v>
                </c:pt>
                <c:pt idx="10">
                  <c:v>ITFIT</c:v>
                </c:pt>
              </c:strCache>
            </c:strRef>
          </c:cat>
          <c:val>
            <c:numRef>
              <c:f>'PORCENTAJE CUMPLIMIENTO EAV'!$C$8:$M$8</c:f>
            </c:numRef>
          </c:val>
          <c:extLst>
            <c:ext xmlns:c16="http://schemas.microsoft.com/office/drawing/2014/chart" uri="{C3380CC4-5D6E-409C-BE32-E72D297353CC}">
              <c16:uniqueId val="{00000000-AF58-4E8D-A0DE-59F02CA615AC}"/>
            </c:ext>
          </c:extLst>
        </c:ser>
        <c:ser>
          <c:idx val="1"/>
          <c:order val="1"/>
          <c:tx>
            <c:strRef>
              <c:f>'PORCENTAJE CUMPLIMIENTO EAV'!$B$9</c:f>
              <c:strCache>
                <c:ptCount val="1"/>
                <c:pt idx="0">
                  <c:v>Direccionamiento Estratégico</c:v>
                </c:pt>
              </c:strCache>
            </c:strRef>
          </c:tx>
          <c:spPr>
            <a:gradFill rotWithShape="1">
              <a:gsLst>
                <a:gs pos="0">
                  <a:schemeClr val="accent4">
                    <a:tint val="62000"/>
                    <a:shade val="51000"/>
                    <a:satMod val="130000"/>
                  </a:schemeClr>
                </a:gs>
                <a:gs pos="80000">
                  <a:schemeClr val="accent4">
                    <a:tint val="62000"/>
                    <a:shade val="93000"/>
                    <a:satMod val="130000"/>
                  </a:schemeClr>
                </a:gs>
                <a:gs pos="100000">
                  <a:schemeClr val="accent4">
                    <a:tint val="62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'PORCENTAJE CUMPLIMIENTO EAV'!$C$7:$M$7</c:f>
              <c:strCache>
                <c:ptCount val="11"/>
                <c:pt idx="0">
                  <c:v>MEN</c:v>
                </c:pt>
                <c:pt idx="1">
                  <c:v>ICFES</c:v>
                </c:pt>
                <c:pt idx="2">
                  <c:v>ICETEX</c:v>
                </c:pt>
                <c:pt idx="3">
                  <c:v>INCI</c:v>
                </c:pt>
                <c:pt idx="4">
                  <c:v>INSOR</c:v>
                </c:pt>
                <c:pt idx="5">
                  <c:v>FODESEP</c:v>
                </c:pt>
                <c:pt idx="6">
                  <c:v>INTENALCO</c:v>
                </c:pt>
                <c:pt idx="7">
                  <c:v>ETITC</c:v>
                </c:pt>
                <c:pt idx="8">
                  <c:v>INFOTEP SAN ANDRES</c:v>
                </c:pt>
                <c:pt idx="9">
                  <c:v>INFOTEP SAN JUAN DEL CESAR</c:v>
                </c:pt>
                <c:pt idx="10">
                  <c:v>ITFIT</c:v>
                </c:pt>
              </c:strCache>
            </c:strRef>
          </c:cat>
          <c:val>
            <c:numRef>
              <c:f>'PORCENTAJE CUMPLIMIENTO EAV'!$C$9:$M$9</c:f>
            </c:numRef>
          </c:val>
          <c:extLst>
            <c:ext xmlns:c16="http://schemas.microsoft.com/office/drawing/2014/chart" uri="{C3380CC4-5D6E-409C-BE32-E72D297353CC}">
              <c16:uniqueId val="{00000001-AF58-4E8D-A0DE-59F02CA615AC}"/>
            </c:ext>
          </c:extLst>
        </c:ser>
        <c:ser>
          <c:idx val="2"/>
          <c:order val="2"/>
          <c:tx>
            <c:strRef>
              <c:f>'PORCENTAJE CUMPLIMIENTO EAV'!$B$10</c:f>
              <c:strCache>
                <c:ptCount val="1"/>
                <c:pt idx="0">
                  <c:v>Valores para resultados</c:v>
                </c:pt>
              </c:strCache>
            </c:strRef>
          </c:tx>
          <c:spPr>
            <a:gradFill rotWithShape="1">
              <a:gsLst>
                <a:gs pos="0">
                  <a:schemeClr val="accent4">
                    <a:tint val="77000"/>
                    <a:shade val="51000"/>
                    <a:satMod val="130000"/>
                  </a:schemeClr>
                </a:gs>
                <a:gs pos="80000">
                  <a:schemeClr val="accent4">
                    <a:tint val="77000"/>
                    <a:shade val="93000"/>
                    <a:satMod val="130000"/>
                  </a:schemeClr>
                </a:gs>
                <a:gs pos="100000">
                  <a:schemeClr val="accent4">
                    <a:tint val="77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'PORCENTAJE CUMPLIMIENTO EAV'!$C$7:$M$7</c:f>
              <c:strCache>
                <c:ptCount val="11"/>
                <c:pt idx="0">
                  <c:v>MEN</c:v>
                </c:pt>
                <c:pt idx="1">
                  <c:v>ICFES</c:v>
                </c:pt>
                <c:pt idx="2">
                  <c:v>ICETEX</c:v>
                </c:pt>
                <c:pt idx="3">
                  <c:v>INCI</c:v>
                </c:pt>
                <c:pt idx="4">
                  <c:v>INSOR</c:v>
                </c:pt>
                <c:pt idx="5">
                  <c:v>FODESEP</c:v>
                </c:pt>
                <c:pt idx="6">
                  <c:v>INTENALCO</c:v>
                </c:pt>
                <c:pt idx="7">
                  <c:v>ETITC</c:v>
                </c:pt>
                <c:pt idx="8">
                  <c:v>INFOTEP SAN ANDRES</c:v>
                </c:pt>
                <c:pt idx="9">
                  <c:v>INFOTEP SAN JUAN DEL CESAR</c:v>
                </c:pt>
                <c:pt idx="10">
                  <c:v>ITFIT</c:v>
                </c:pt>
              </c:strCache>
            </c:strRef>
          </c:cat>
          <c:val>
            <c:numRef>
              <c:f>'PORCENTAJE CUMPLIMIENTO EAV'!$C$10:$M$10</c:f>
            </c:numRef>
          </c:val>
          <c:extLst>
            <c:ext xmlns:c16="http://schemas.microsoft.com/office/drawing/2014/chart" uri="{C3380CC4-5D6E-409C-BE32-E72D297353CC}">
              <c16:uniqueId val="{00000002-AF58-4E8D-A0DE-59F02CA615AC}"/>
            </c:ext>
          </c:extLst>
        </c:ser>
        <c:ser>
          <c:idx val="3"/>
          <c:order val="3"/>
          <c:tx>
            <c:strRef>
              <c:f>'PORCENTAJE CUMPLIMIENTO EAV'!$B$11</c:f>
              <c:strCache>
                <c:ptCount val="1"/>
                <c:pt idx="0">
                  <c:v>Evaluación de resultados</c:v>
                </c:pt>
              </c:strCache>
            </c:strRef>
          </c:tx>
          <c:spPr>
            <a:gradFill rotWithShape="1">
              <a:gsLst>
                <a:gs pos="0">
                  <a:schemeClr val="accent4">
                    <a:tint val="93000"/>
                    <a:shade val="51000"/>
                    <a:satMod val="130000"/>
                  </a:schemeClr>
                </a:gs>
                <a:gs pos="80000">
                  <a:schemeClr val="accent4">
                    <a:tint val="93000"/>
                    <a:shade val="93000"/>
                    <a:satMod val="130000"/>
                  </a:schemeClr>
                </a:gs>
                <a:gs pos="100000">
                  <a:schemeClr val="accent4">
                    <a:tint val="93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'PORCENTAJE CUMPLIMIENTO EAV'!$C$7:$M$7</c:f>
              <c:strCache>
                <c:ptCount val="11"/>
                <c:pt idx="0">
                  <c:v>MEN</c:v>
                </c:pt>
                <c:pt idx="1">
                  <c:v>ICFES</c:v>
                </c:pt>
                <c:pt idx="2">
                  <c:v>ICETEX</c:v>
                </c:pt>
                <c:pt idx="3">
                  <c:v>INCI</c:v>
                </c:pt>
                <c:pt idx="4">
                  <c:v>INSOR</c:v>
                </c:pt>
                <c:pt idx="5">
                  <c:v>FODESEP</c:v>
                </c:pt>
                <c:pt idx="6">
                  <c:v>INTENALCO</c:v>
                </c:pt>
                <c:pt idx="7">
                  <c:v>ETITC</c:v>
                </c:pt>
                <c:pt idx="8">
                  <c:v>INFOTEP SAN ANDRES</c:v>
                </c:pt>
                <c:pt idx="9">
                  <c:v>INFOTEP SAN JUAN DEL CESAR</c:v>
                </c:pt>
                <c:pt idx="10">
                  <c:v>ITFIT</c:v>
                </c:pt>
              </c:strCache>
            </c:strRef>
          </c:cat>
          <c:val>
            <c:numRef>
              <c:f>'PORCENTAJE CUMPLIMIENTO EAV'!$C$11:$M$11</c:f>
            </c:numRef>
          </c:val>
          <c:extLst>
            <c:ext xmlns:c16="http://schemas.microsoft.com/office/drawing/2014/chart" uri="{C3380CC4-5D6E-409C-BE32-E72D297353CC}">
              <c16:uniqueId val="{00000003-AF58-4E8D-A0DE-59F02CA615AC}"/>
            </c:ext>
          </c:extLst>
        </c:ser>
        <c:ser>
          <c:idx val="4"/>
          <c:order val="4"/>
          <c:tx>
            <c:strRef>
              <c:f>'PORCENTAJE CUMPLIMIENTO EAV'!$B$12</c:f>
              <c:strCache>
                <c:ptCount val="1"/>
                <c:pt idx="0">
                  <c:v>Información y Comunicación</c:v>
                </c:pt>
              </c:strCache>
            </c:strRef>
          </c:tx>
          <c:spPr>
            <a:gradFill rotWithShape="1">
              <a:gsLst>
                <a:gs pos="0">
                  <a:schemeClr val="accent4">
                    <a:shade val="92000"/>
                    <a:shade val="51000"/>
                    <a:satMod val="130000"/>
                  </a:schemeClr>
                </a:gs>
                <a:gs pos="80000">
                  <a:schemeClr val="accent4">
                    <a:shade val="92000"/>
                    <a:shade val="93000"/>
                    <a:satMod val="130000"/>
                  </a:schemeClr>
                </a:gs>
                <a:gs pos="100000">
                  <a:schemeClr val="accent4">
                    <a:shade val="92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'PORCENTAJE CUMPLIMIENTO EAV'!$C$7:$M$7</c:f>
              <c:strCache>
                <c:ptCount val="11"/>
                <c:pt idx="0">
                  <c:v>MEN</c:v>
                </c:pt>
                <c:pt idx="1">
                  <c:v>ICFES</c:v>
                </c:pt>
                <c:pt idx="2">
                  <c:v>ICETEX</c:v>
                </c:pt>
                <c:pt idx="3">
                  <c:v>INCI</c:v>
                </c:pt>
                <c:pt idx="4">
                  <c:v>INSOR</c:v>
                </c:pt>
                <c:pt idx="5">
                  <c:v>FODESEP</c:v>
                </c:pt>
                <c:pt idx="6">
                  <c:v>INTENALCO</c:v>
                </c:pt>
                <c:pt idx="7">
                  <c:v>ETITC</c:v>
                </c:pt>
                <c:pt idx="8">
                  <c:v>INFOTEP SAN ANDRES</c:v>
                </c:pt>
                <c:pt idx="9">
                  <c:v>INFOTEP SAN JUAN DEL CESAR</c:v>
                </c:pt>
                <c:pt idx="10">
                  <c:v>ITFIT</c:v>
                </c:pt>
              </c:strCache>
            </c:strRef>
          </c:cat>
          <c:val>
            <c:numRef>
              <c:f>'PORCENTAJE CUMPLIMIENTO EAV'!$C$12:$M$12</c:f>
            </c:numRef>
          </c:val>
          <c:extLst>
            <c:ext xmlns:c16="http://schemas.microsoft.com/office/drawing/2014/chart" uri="{C3380CC4-5D6E-409C-BE32-E72D297353CC}">
              <c16:uniqueId val="{00000004-AF58-4E8D-A0DE-59F02CA615AC}"/>
            </c:ext>
          </c:extLst>
        </c:ser>
        <c:ser>
          <c:idx val="5"/>
          <c:order val="5"/>
          <c:tx>
            <c:strRef>
              <c:f>'PORCENTAJE CUMPLIMIENTO EAV'!$B$13</c:f>
              <c:strCache>
                <c:ptCount val="1"/>
                <c:pt idx="0">
                  <c:v>Gestión del Conocimiento</c:v>
                </c:pt>
              </c:strCache>
            </c:strRef>
          </c:tx>
          <c:spPr>
            <a:gradFill rotWithShape="1">
              <a:gsLst>
                <a:gs pos="0">
                  <a:schemeClr val="accent4">
                    <a:shade val="76000"/>
                    <a:shade val="51000"/>
                    <a:satMod val="130000"/>
                  </a:schemeClr>
                </a:gs>
                <a:gs pos="80000">
                  <a:schemeClr val="accent4">
                    <a:shade val="76000"/>
                    <a:shade val="93000"/>
                    <a:satMod val="130000"/>
                  </a:schemeClr>
                </a:gs>
                <a:gs pos="100000">
                  <a:schemeClr val="accent4">
                    <a:shade val="76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'PORCENTAJE CUMPLIMIENTO EAV'!$C$7:$M$7</c:f>
              <c:strCache>
                <c:ptCount val="11"/>
                <c:pt idx="0">
                  <c:v>MEN</c:v>
                </c:pt>
                <c:pt idx="1">
                  <c:v>ICFES</c:v>
                </c:pt>
                <c:pt idx="2">
                  <c:v>ICETEX</c:v>
                </c:pt>
                <c:pt idx="3">
                  <c:v>INCI</c:v>
                </c:pt>
                <c:pt idx="4">
                  <c:v>INSOR</c:v>
                </c:pt>
                <c:pt idx="5">
                  <c:v>FODESEP</c:v>
                </c:pt>
                <c:pt idx="6">
                  <c:v>INTENALCO</c:v>
                </c:pt>
                <c:pt idx="7">
                  <c:v>ETITC</c:v>
                </c:pt>
                <c:pt idx="8">
                  <c:v>INFOTEP SAN ANDRES</c:v>
                </c:pt>
                <c:pt idx="9">
                  <c:v>INFOTEP SAN JUAN DEL CESAR</c:v>
                </c:pt>
                <c:pt idx="10">
                  <c:v>ITFIT</c:v>
                </c:pt>
              </c:strCache>
            </c:strRef>
          </c:cat>
          <c:val>
            <c:numRef>
              <c:f>'PORCENTAJE CUMPLIMIENTO EAV'!$C$13:$M$13</c:f>
            </c:numRef>
          </c:val>
          <c:extLst>
            <c:ext xmlns:c16="http://schemas.microsoft.com/office/drawing/2014/chart" uri="{C3380CC4-5D6E-409C-BE32-E72D297353CC}">
              <c16:uniqueId val="{00000005-AF58-4E8D-A0DE-59F02CA615AC}"/>
            </c:ext>
          </c:extLst>
        </c:ser>
        <c:ser>
          <c:idx val="6"/>
          <c:order val="6"/>
          <c:tx>
            <c:strRef>
              <c:f>'PORCENTAJE CUMPLIMIENTO EAV'!$B$14</c:f>
              <c:strCache>
                <c:ptCount val="1"/>
                <c:pt idx="0">
                  <c:v>Control Interno</c:v>
                </c:pt>
              </c:strCache>
            </c:strRef>
          </c:tx>
          <c:spPr>
            <a:gradFill rotWithShape="1">
              <a:gsLst>
                <a:gs pos="0">
                  <a:schemeClr val="accent4">
                    <a:shade val="61000"/>
                    <a:shade val="51000"/>
                    <a:satMod val="130000"/>
                  </a:schemeClr>
                </a:gs>
                <a:gs pos="80000">
                  <a:schemeClr val="accent4">
                    <a:shade val="61000"/>
                    <a:shade val="93000"/>
                    <a:satMod val="130000"/>
                  </a:schemeClr>
                </a:gs>
                <a:gs pos="100000">
                  <a:schemeClr val="accent4">
                    <a:shade val="61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'PORCENTAJE CUMPLIMIENTO EAV'!$C$7:$M$7</c:f>
              <c:strCache>
                <c:ptCount val="11"/>
                <c:pt idx="0">
                  <c:v>MEN</c:v>
                </c:pt>
                <c:pt idx="1">
                  <c:v>ICFES</c:v>
                </c:pt>
                <c:pt idx="2">
                  <c:v>ICETEX</c:v>
                </c:pt>
                <c:pt idx="3">
                  <c:v>INCI</c:v>
                </c:pt>
                <c:pt idx="4">
                  <c:v>INSOR</c:v>
                </c:pt>
                <c:pt idx="5">
                  <c:v>FODESEP</c:v>
                </c:pt>
                <c:pt idx="6">
                  <c:v>INTENALCO</c:v>
                </c:pt>
                <c:pt idx="7">
                  <c:v>ETITC</c:v>
                </c:pt>
                <c:pt idx="8">
                  <c:v>INFOTEP SAN ANDRES</c:v>
                </c:pt>
                <c:pt idx="9">
                  <c:v>INFOTEP SAN JUAN DEL CESAR</c:v>
                </c:pt>
                <c:pt idx="10">
                  <c:v>ITFIT</c:v>
                </c:pt>
              </c:strCache>
            </c:strRef>
          </c:cat>
          <c:val>
            <c:numRef>
              <c:f>'PORCENTAJE CUMPLIMIENTO EAV'!$C$14:$M$14</c:f>
            </c:numRef>
          </c:val>
          <c:extLst>
            <c:ext xmlns:c16="http://schemas.microsoft.com/office/drawing/2014/chart" uri="{C3380CC4-5D6E-409C-BE32-E72D297353CC}">
              <c16:uniqueId val="{00000006-AF58-4E8D-A0DE-59F02CA615AC}"/>
            </c:ext>
          </c:extLst>
        </c:ser>
        <c:ser>
          <c:idx val="7"/>
          <c:order val="7"/>
          <c:tx>
            <c:strRef>
              <c:f>'PORCENTAJE CUMPLIMIENTO EAV'!$B$15</c:f>
              <c:strCache>
                <c:ptCount val="1"/>
                <c:pt idx="0">
                  <c:v>Promedio  de cumplimiento de las Entidades</c:v>
                </c:pt>
              </c:strCache>
            </c:strRef>
          </c:tx>
          <c:spPr>
            <a:gradFill rotWithShape="1">
              <a:gsLst>
                <a:gs pos="0">
                  <a:schemeClr val="accent4">
                    <a:shade val="45000"/>
                    <a:shade val="51000"/>
                    <a:satMod val="130000"/>
                  </a:schemeClr>
                </a:gs>
                <a:gs pos="80000">
                  <a:schemeClr val="accent4">
                    <a:shade val="45000"/>
                    <a:shade val="93000"/>
                    <a:satMod val="130000"/>
                  </a:schemeClr>
                </a:gs>
                <a:gs pos="100000">
                  <a:schemeClr val="accent4">
                    <a:shade val="45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'PORCENTAJE CUMPLIMIENTO EAV'!$C$7:$M$7</c:f>
              <c:strCache>
                <c:ptCount val="11"/>
                <c:pt idx="0">
                  <c:v>MEN</c:v>
                </c:pt>
                <c:pt idx="1">
                  <c:v>ICFES</c:v>
                </c:pt>
                <c:pt idx="2">
                  <c:v>ICETEX</c:v>
                </c:pt>
                <c:pt idx="3">
                  <c:v>INCI</c:v>
                </c:pt>
                <c:pt idx="4">
                  <c:v>INSOR</c:v>
                </c:pt>
                <c:pt idx="5">
                  <c:v>FODESEP</c:v>
                </c:pt>
                <c:pt idx="6">
                  <c:v>INTENALCO</c:v>
                </c:pt>
                <c:pt idx="7">
                  <c:v>ETITC</c:v>
                </c:pt>
                <c:pt idx="8">
                  <c:v>INFOTEP SAN ANDRES</c:v>
                </c:pt>
                <c:pt idx="9">
                  <c:v>INFOTEP SAN JUAN DEL CESAR</c:v>
                </c:pt>
                <c:pt idx="10">
                  <c:v>ITFIT</c:v>
                </c:pt>
              </c:strCache>
            </c:strRef>
          </c:cat>
          <c:val>
            <c:numRef>
              <c:f>'PORCENTAJE CUMPLIMIENTO EAV'!$C$15:$M$15</c:f>
              <c:numCache>
                <c:formatCode>0.00%</c:formatCode>
                <c:ptCount val="11"/>
                <c:pt idx="0">
                  <c:v>0.98105799319727893</c:v>
                </c:pt>
                <c:pt idx="1">
                  <c:v>0.97289285714285711</c:v>
                </c:pt>
                <c:pt idx="2">
                  <c:v>0.97945600116476539</c:v>
                </c:pt>
                <c:pt idx="3">
                  <c:v>0.89175170068027199</c:v>
                </c:pt>
                <c:pt idx="4">
                  <c:v>0.98721819727891158</c:v>
                </c:pt>
                <c:pt idx="5">
                  <c:v>0.81220562770562765</c:v>
                </c:pt>
                <c:pt idx="6">
                  <c:v>0.91802721088435379</c:v>
                </c:pt>
                <c:pt idx="7">
                  <c:v>0.88183673469387747</c:v>
                </c:pt>
                <c:pt idx="8">
                  <c:v>0.73292888064316641</c:v>
                </c:pt>
                <c:pt idx="9">
                  <c:v>0.94595238095238099</c:v>
                </c:pt>
                <c:pt idx="10">
                  <c:v>0.96294063079777359</c:v>
                </c:pt>
              </c:numCache>
            </c:numRef>
          </c:val>
          <c:extLst>
            <c:ext xmlns:c16="http://schemas.microsoft.com/office/drawing/2014/chart" uri="{C3380CC4-5D6E-409C-BE32-E72D297353CC}">
              <c16:uniqueId val="{00000007-AF58-4E8D-A0DE-59F02CA615AC}"/>
            </c:ext>
          </c:extLst>
        </c:ser>
        <c:dLbls>
          <c:dLblPos val="outEnd"/>
          <c:showLegendKey val="0"/>
          <c:showVal val="1"/>
          <c:showCatName val="0"/>
          <c:showSerName val="0"/>
          <c:showPercent val="0"/>
          <c:showBubbleSize val="0"/>
        </c:dLbls>
        <c:gapWidth val="115"/>
        <c:overlap val="-20"/>
        <c:axId val="441910648"/>
        <c:axId val="441919832"/>
      </c:barChart>
      <c:catAx>
        <c:axId val="441910648"/>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441919832"/>
        <c:crosses val="autoZero"/>
        <c:auto val="1"/>
        <c:lblAlgn val="ctr"/>
        <c:lblOffset val="100"/>
        <c:noMultiLvlLbl val="0"/>
      </c:catAx>
      <c:valAx>
        <c:axId val="441919832"/>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419106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r>
              <a:rPr lang="es-CO">
                <a:solidFill>
                  <a:sysClr val="windowText" lastClr="000000"/>
                </a:solidFill>
              </a:rPr>
              <a:t>PLAN DE ACCIÓN SECTORIAL - SEGUIMIENTO IV</a:t>
            </a:r>
            <a:r>
              <a:rPr lang="es-CO" baseline="0">
                <a:solidFill>
                  <a:sysClr val="windowText" lastClr="000000"/>
                </a:solidFill>
              </a:rPr>
              <a:t> </a:t>
            </a:r>
            <a:r>
              <a:rPr lang="es-CO">
                <a:solidFill>
                  <a:sysClr val="windowText" lastClr="000000"/>
                </a:solidFill>
              </a:rPr>
              <a:t>TRIMESTRE 2018</a:t>
            </a:r>
          </a:p>
          <a:p>
            <a:pPr>
              <a:defRPr>
                <a:solidFill>
                  <a:sysClr val="windowText" lastClr="000000"/>
                </a:solidFill>
              </a:defRPr>
            </a:pPr>
            <a:r>
              <a:rPr lang="es-CO">
                <a:solidFill>
                  <a:sysClr val="windowText" lastClr="000000"/>
                </a:solidFill>
              </a:rPr>
              <a:t>Porcentaje  de cumplimiento de las Dimensiones</a:t>
            </a:r>
          </a:p>
        </c:rich>
      </c:tx>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es-CO"/>
        </a:p>
      </c:txPr>
    </c:title>
    <c:autoTitleDeleted val="0"/>
    <c:plotArea>
      <c:layout/>
      <c:barChart>
        <c:barDir val="bar"/>
        <c:grouping val="clustered"/>
        <c:varyColors val="0"/>
        <c:ser>
          <c:idx val="0"/>
          <c:order val="0"/>
          <c:tx>
            <c:strRef>
              <c:f>'PORCENTAJE CUMPLIMIENTO EAV'!$C$18</c:f>
              <c:strCache>
                <c:ptCount val="1"/>
                <c:pt idx="0">
                  <c:v>%  de cumplimiento</c:v>
                </c:pt>
              </c:strCache>
            </c:strRef>
          </c:tx>
          <c:spPr>
            <a:solidFill>
              <a:schemeClr val="accent4">
                <a:lumMod val="75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'PORCENTAJE CUMPLIMIENTO EAV'!$B$19:$B$25</c:f>
              <c:strCache>
                <c:ptCount val="7"/>
                <c:pt idx="0">
                  <c:v>Evaluación de resultados</c:v>
                </c:pt>
                <c:pt idx="1">
                  <c:v>Direccionamiento Estratégico</c:v>
                </c:pt>
                <c:pt idx="2">
                  <c:v>Talento Humano</c:v>
                </c:pt>
                <c:pt idx="3">
                  <c:v>Control Interno</c:v>
                </c:pt>
                <c:pt idx="4">
                  <c:v>Valores para resultados</c:v>
                </c:pt>
                <c:pt idx="5">
                  <c:v>Información y Comunicación</c:v>
                </c:pt>
                <c:pt idx="6">
                  <c:v>Gestión del Conocimiento</c:v>
                </c:pt>
              </c:strCache>
            </c:strRef>
          </c:cat>
          <c:val>
            <c:numRef>
              <c:f>'PORCENTAJE CUMPLIMIENTO EAV'!$C$19:$C$25</c:f>
              <c:numCache>
                <c:formatCode>0.00%</c:formatCode>
                <c:ptCount val="7"/>
                <c:pt idx="0">
                  <c:v>0.9780075757575758</c:v>
                </c:pt>
                <c:pt idx="1">
                  <c:v>0.95024935064935068</c:v>
                </c:pt>
                <c:pt idx="2">
                  <c:v>0.9540426210153482</c:v>
                </c:pt>
                <c:pt idx="3">
                  <c:v>0.92999999999999994</c:v>
                </c:pt>
                <c:pt idx="4">
                  <c:v>0.93329417486338839</c:v>
                </c:pt>
                <c:pt idx="5">
                  <c:v>0.89460909090909069</c:v>
                </c:pt>
                <c:pt idx="6">
                  <c:v>0.76818181818181819</c:v>
                </c:pt>
              </c:numCache>
            </c:numRef>
          </c:val>
          <c:extLst>
            <c:ext xmlns:c16="http://schemas.microsoft.com/office/drawing/2014/chart" uri="{C3380CC4-5D6E-409C-BE32-E72D297353CC}">
              <c16:uniqueId val="{00000000-FB20-480F-95D0-0B36744767E2}"/>
            </c:ext>
          </c:extLst>
        </c:ser>
        <c:dLbls>
          <c:showLegendKey val="0"/>
          <c:showVal val="0"/>
          <c:showCatName val="0"/>
          <c:showSerName val="0"/>
          <c:showPercent val="0"/>
          <c:showBubbleSize val="0"/>
        </c:dLbls>
        <c:gapWidth val="115"/>
        <c:overlap val="-20"/>
        <c:axId val="441828648"/>
        <c:axId val="441828976"/>
      </c:barChart>
      <c:catAx>
        <c:axId val="441828648"/>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441828976"/>
        <c:crosses val="autoZero"/>
        <c:auto val="1"/>
        <c:lblAlgn val="ctr"/>
        <c:lblOffset val="100"/>
        <c:noMultiLvlLbl val="0"/>
      </c:catAx>
      <c:valAx>
        <c:axId val="441828976"/>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418286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4">
  <a:schemeClr val="accent4"/>
</cs:colorStyle>
</file>

<file path=xl/charts/colors2.xml><?xml version="1.0" encoding="utf-8"?>
<cs:colorStyle xmlns:cs="http://schemas.microsoft.com/office/drawing/2012/chartStyle" xmlns:a="http://schemas.openxmlformats.org/drawingml/2006/main" meth="withinLinearReversed" id="24">
  <a:schemeClr val="accent4"/>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142875</xdr:colOff>
      <xdr:row>16</xdr:row>
      <xdr:rowOff>19050</xdr:rowOff>
    </xdr:from>
    <xdr:to>
      <xdr:col>12</xdr:col>
      <xdr:colOff>428625</xdr:colOff>
      <xdr:row>46</xdr:row>
      <xdr:rowOff>38100</xdr:rowOff>
    </xdr:to>
    <xdr:graphicFrame macro="">
      <xdr:nvGraphicFramePr>
        <xdr:cNvPr id="2" name="Gráfico 1">
          <a:extLst>
            <a:ext uri="{FF2B5EF4-FFF2-40B4-BE49-F238E27FC236}">
              <a16:creationId xmlns:a16="http://schemas.microsoft.com/office/drawing/2014/main" id="{E9C5C9BB-8862-4D0F-A5D3-99B09E8F2C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476251</xdr:colOff>
      <xdr:row>16</xdr:row>
      <xdr:rowOff>19050</xdr:rowOff>
    </xdr:from>
    <xdr:to>
      <xdr:col>20</xdr:col>
      <xdr:colOff>666751</xdr:colOff>
      <xdr:row>41</xdr:row>
      <xdr:rowOff>19050</xdr:rowOff>
    </xdr:to>
    <xdr:graphicFrame macro="">
      <xdr:nvGraphicFramePr>
        <xdr:cNvPr id="3" name="Gráfico 2">
          <a:extLst>
            <a:ext uri="{FF2B5EF4-FFF2-40B4-BE49-F238E27FC236}">
              <a16:creationId xmlns:a16="http://schemas.microsoft.com/office/drawing/2014/main" id="{4C2E9C9D-BE27-4AC1-949D-C9201E2190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163286</xdr:rowOff>
    </xdr:from>
    <xdr:to>
      <xdr:col>2</xdr:col>
      <xdr:colOff>979714</xdr:colOff>
      <xdr:row>2</xdr:row>
      <xdr:rowOff>93436</xdr:rowOff>
    </xdr:to>
    <xdr:pic>
      <xdr:nvPicPr>
        <xdr:cNvPr id="3" name="Imagen 2">
          <a:extLst>
            <a:ext uri="{FF2B5EF4-FFF2-40B4-BE49-F238E27FC236}">
              <a16:creationId xmlns:a16="http://schemas.microsoft.com/office/drawing/2014/main" id="{72CD5359-FBAA-45A9-A2B3-328655F27927}"/>
            </a:ext>
          </a:extLst>
        </xdr:cNvPr>
        <xdr:cNvPicPr/>
      </xdr:nvPicPr>
      <xdr:blipFill>
        <a:blip xmlns:r="http://schemas.openxmlformats.org/officeDocument/2006/relationships" r:embed="rId1"/>
        <a:stretch>
          <a:fillRect/>
        </a:stretch>
      </xdr:blipFill>
      <xdr:spPr>
        <a:xfrm>
          <a:off x="0" y="163286"/>
          <a:ext cx="3619500" cy="596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17319</xdr:colOff>
      <xdr:row>0</xdr:row>
      <xdr:rowOff>173182</xdr:rowOff>
    </xdr:from>
    <xdr:to>
      <xdr:col>2</xdr:col>
      <xdr:colOff>813955</xdr:colOff>
      <xdr:row>1</xdr:row>
      <xdr:rowOff>337127</xdr:rowOff>
    </xdr:to>
    <xdr:pic>
      <xdr:nvPicPr>
        <xdr:cNvPr id="3" name="Imagen 2">
          <a:extLst>
            <a:ext uri="{FF2B5EF4-FFF2-40B4-BE49-F238E27FC236}">
              <a16:creationId xmlns:a16="http://schemas.microsoft.com/office/drawing/2014/main" id="{760BA615-ACB9-410F-B8F0-E7ADB60438E4}"/>
            </a:ext>
          </a:extLst>
        </xdr:cNvPr>
        <xdr:cNvPicPr/>
      </xdr:nvPicPr>
      <xdr:blipFill>
        <a:blip xmlns:r="http://schemas.openxmlformats.org/officeDocument/2006/relationships" r:embed="rId1"/>
        <a:stretch>
          <a:fillRect/>
        </a:stretch>
      </xdr:blipFill>
      <xdr:spPr>
        <a:xfrm>
          <a:off x="17319" y="173182"/>
          <a:ext cx="3619500" cy="596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81643</xdr:colOff>
      <xdr:row>0</xdr:row>
      <xdr:rowOff>176893</xdr:rowOff>
    </xdr:from>
    <xdr:to>
      <xdr:col>2</xdr:col>
      <xdr:colOff>966107</xdr:colOff>
      <xdr:row>2</xdr:row>
      <xdr:rowOff>11793</xdr:rowOff>
    </xdr:to>
    <xdr:pic>
      <xdr:nvPicPr>
        <xdr:cNvPr id="3" name="Imagen 2">
          <a:extLst>
            <a:ext uri="{FF2B5EF4-FFF2-40B4-BE49-F238E27FC236}">
              <a16:creationId xmlns:a16="http://schemas.microsoft.com/office/drawing/2014/main" id="{FC72A488-0D4F-4AB3-8D51-62447CFB0DDF}"/>
            </a:ext>
          </a:extLst>
        </xdr:cNvPr>
        <xdr:cNvPicPr/>
      </xdr:nvPicPr>
      <xdr:blipFill>
        <a:blip xmlns:r="http://schemas.openxmlformats.org/officeDocument/2006/relationships" r:embed="rId1"/>
        <a:stretch>
          <a:fillRect/>
        </a:stretch>
      </xdr:blipFill>
      <xdr:spPr>
        <a:xfrm>
          <a:off x="81643" y="176893"/>
          <a:ext cx="3619500" cy="596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154782</xdr:colOff>
      <xdr:row>0</xdr:row>
      <xdr:rowOff>119063</xdr:rowOff>
    </xdr:from>
    <xdr:to>
      <xdr:col>2</xdr:col>
      <xdr:colOff>1393032</xdr:colOff>
      <xdr:row>2</xdr:row>
      <xdr:rowOff>37307</xdr:rowOff>
    </xdr:to>
    <xdr:pic>
      <xdr:nvPicPr>
        <xdr:cNvPr id="3" name="Imagen 2">
          <a:extLst>
            <a:ext uri="{FF2B5EF4-FFF2-40B4-BE49-F238E27FC236}">
              <a16:creationId xmlns:a16="http://schemas.microsoft.com/office/drawing/2014/main" id="{7A9D0DDA-2CDE-4F5E-88FC-6E074DAE0EDC}"/>
            </a:ext>
          </a:extLst>
        </xdr:cNvPr>
        <xdr:cNvPicPr/>
      </xdr:nvPicPr>
      <xdr:blipFill>
        <a:blip xmlns:r="http://schemas.openxmlformats.org/officeDocument/2006/relationships" r:embed="rId1"/>
        <a:stretch>
          <a:fillRect/>
        </a:stretch>
      </xdr:blipFill>
      <xdr:spPr>
        <a:xfrm>
          <a:off x="154782" y="119063"/>
          <a:ext cx="3619500" cy="5969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40821</xdr:colOff>
      <xdr:row>0</xdr:row>
      <xdr:rowOff>122464</xdr:rowOff>
    </xdr:from>
    <xdr:to>
      <xdr:col>2</xdr:col>
      <xdr:colOff>435428</xdr:colOff>
      <xdr:row>2</xdr:row>
      <xdr:rowOff>120650</xdr:rowOff>
    </xdr:to>
    <xdr:pic>
      <xdr:nvPicPr>
        <xdr:cNvPr id="3" name="Imagen 2">
          <a:extLst>
            <a:ext uri="{FF2B5EF4-FFF2-40B4-BE49-F238E27FC236}">
              <a16:creationId xmlns:a16="http://schemas.microsoft.com/office/drawing/2014/main" id="{D01D6315-BFDF-4FFA-9F37-F532E1265A36}"/>
            </a:ext>
          </a:extLst>
        </xdr:cNvPr>
        <xdr:cNvPicPr/>
      </xdr:nvPicPr>
      <xdr:blipFill>
        <a:blip xmlns:r="http://schemas.openxmlformats.org/officeDocument/2006/relationships" r:embed="rId1"/>
        <a:stretch>
          <a:fillRect/>
        </a:stretch>
      </xdr:blipFill>
      <xdr:spPr>
        <a:xfrm>
          <a:off x="40821" y="122464"/>
          <a:ext cx="3619500" cy="5969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95250</xdr:colOff>
      <xdr:row>0</xdr:row>
      <xdr:rowOff>142875</xdr:rowOff>
    </xdr:from>
    <xdr:to>
      <xdr:col>3</xdr:col>
      <xdr:colOff>95250</xdr:colOff>
      <xdr:row>2</xdr:row>
      <xdr:rowOff>120650</xdr:rowOff>
    </xdr:to>
    <xdr:pic>
      <xdr:nvPicPr>
        <xdr:cNvPr id="3" name="Imagen 2">
          <a:extLst>
            <a:ext uri="{FF2B5EF4-FFF2-40B4-BE49-F238E27FC236}">
              <a16:creationId xmlns:a16="http://schemas.microsoft.com/office/drawing/2014/main" id="{415F3964-6446-401E-9422-11D6FB2E2864}"/>
            </a:ext>
          </a:extLst>
        </xdr:cNvPr>
        <xdr:cNvPicPr/>
      </xdr:nvPicPr>
      <xdr:blipFill>
        <a:blip xmlns:r="http://schemas.openxmlformats.org/officeDocument/2006/relationships" r:embed="rId1"/>
        <a:stretch>
          <a:fillRect/>
        </a:stretch>
      </xdr:blipFill>
      <xdr:spPr>
        <a:xfrm>
          <a:off x="95250" y="142875"/>
          <a:ext cx="3619500" cy="5969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1000125</xdr:colOff>
      <xdr:row>1</xdr:row>
      <xdr:rowOff>239712</xdr:rowOff>
    </xdr:to>
    <xdr:pic>
      <xdr:nvPicPr>
        <xdr:cNvPr id="3" name="Imagen 2">
          <a:extLst>
            <a:ext uri="{FF2B5EF4-FFF2-40B4-BE49-F238E27FC236}">
              <a16:creationId xmlns:a16="http://schemas.microsoft.com/office/drawing/2014/main" id="{AF6CA0E1-2673-4856-AED4-7B816C82B2C9}"/>
            </a:ext>
          </a:extLst>
        </xdr:cNvPr>
        <xdr:cNvPicPr/>
      </xdr:nvPicPr>
      <xdr:blipFill>
        <a:blip xmlns:r="http://schemas.openxmlformats.org/officeDocument/2006/relationships" r:embed="rId1"/>
        <a:stretch>
          <a:fillRect/>
        </a:stretch>
      </xdr:blipFill>
      <xdr:spPr>
        <a:xfrm>
          <a:off x="0" y="0"/>
          <a:ext cx="3619500" cy="596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0330B-4E65-4617-8656-65087EB417FC}">
  <dimension ref="B5:O52"/>
  <sheetViews>
    <sheetView tabSelected="1" workbookViewId="0">
      <selection activeCell="B35" sqref="B35"/>
    </sheetView>
  </sheetViews>
  <sheetFormatPr baseColWidth="10" defaultRowHeight="12.75"/>
  <cols>
    <col min="1" max="1" width="5.140625" style="13" customWidth="1"/>
    <col min="2" max="2" width="31" style="13" customWidth="1"/>
    <col min="3" max="12" width="11.42578125" style="13" customWidth="1"/>
    <col min="13" max="13" width="11.5703125" style="13" customWidth="1"/>
    <col min="14" max="14" width="13" style="243" customWidth="1"/>
    <col min="15" max="16384" width="11.42578125" style="13"/>
  </cols>
  <sheetData>
    <row r="5" spans="2:15" ht="12.75" customHeight="1">
      <c r="B5" s="309" t="s">
        <v>985</v>
      </c>
      <c r="C5" s="311" t="s">
        <v>1056</v>
      </c>
      <c r="D5" s="312"/>
      <c r="E5" s="312"/>
      <c r="F5" s="312"/>
      <c r="G5" s="312"/>
      <c r="H5" s="312"/>
      <c r="I5" s="312"/>
      <c r="J5" s="312"/>
      <c r="K5" s="312"/>
      <c r="L5" s="312"/>
      <c r="M5" s="312"/>
      <c r="N5" s="312"/>
    </row>
    <row r="6" spans="2:15" ht="10.5" customHeight="1">
      <c r="B6" s="310"/>
      <c r="C6" s="313"/>
      <c r="D6" s="314"/>
      <c r="E6" s="314"/>
      <c r="F6" s="314"/>
      <c r="G6" s="314"/>
      <c r="H6" s="314"/>
      <c r="I6" s="314"/>
      <c r="J6" s="314"/>
      <c r="K6" s="314"/>
      <c r="L6" s="314"/>
      <c r="M6" s="314"/>
      <c r="N6" s="314"/>
    </row>
    <row r="7" spans="2:15" ht="35.25" customHeight="1">
      <c r="B7" s="246"/>
      <c r="C7" s="247" t="s">
        <v>198</v>
      </c>
      <c r="D7" s="247" t="s">
        <v>349</v>
      </c>
      <c r="E7" s="247" t="s">
        <v>283</v>
      </c>
      <c r="F7" s="247" t="s">
        <v>371</v>
      </c>
      <c r="G7" s="247" t="s">
        <v>380</v>
      </c>
      <c r="H7" s="247" t="s">
        <v>391</v>
      </c>
      <c r="I7" s="247" t="s">
        <v>487</v>
      </c>
      <c r="J7" s="247" t="s">
        <v>392</v>
      </c>
      <c r="K7" s="247" t="s">
        <v>555</v>
      </c>
      <c r="L7" s="247" t="s">
        <v>397</v>
      </c>
      <c r="M7" s="247" t="s">
        <v>556</v>
      </c>
      <c r="N7" s="247" t="s">
        <v>1057</v>
      </c>
    </row>
    <row r="8" spans="2:15" hidden="1">
      <c r="B8" s="248" t="s">
        <v>986</v>
      </c>
      <c r="C8" s="242">
        <f>+'TALENTO HUMANO'!N19</f>
        <v>0.95599999999999985</v>
      </c>
      <c r="D8" s="242">
        <f>+'TALENTO HUMANO'!O19</f>
        <v>0.98199999999999998</v>
      </c>
      <c r="E8" s="242">
        <f>+'TALENTO HUMANO'!P19</f>
        <v>0.99729999999999985</v>
      </c>
      <c r="F8" s="242">
        <f>+'TALENTO HUMANO'!Q19</f>
        <v>0.95500000000000007</v>
      </c>
      <c r="G8" s="242">
        <f>+'TALENTO HUMANO'!R19</f>
        <v>0.99</v>
      </c>
      <c r="H8" s="242">
        <f>+'TALENTO HUMANO'!S19</f>
        <v>0.83700000000000008</v>
      </c>
      <c r="I8" s="242">
        <f>+'TALENTO HUMANO'!T19</f>
        <v>0.8999999999999998</v>
      </c>
      <c r="J8" s="242">
        <f>+'TALENTO HUMANO'!U19</f>
        <v>0.95</v>
      </c>
      <c r="K8" s="242">
        <f>+'TALENTO HUMANO'!V19</f>
        <v>0.95216883116883122</v>
      </c>
      <c r="L8" s="242">
        <f>+'TALENTO HUMANO'!W19</f>
        <v>1</v>
      </c>
      <c r="M8" s="242">
        <f>+'TALENTO HUMANO'!X19</f>
        <v>0.97499999999999998</v>
      </c>
      <c r="N8" s="247">
        <f>+AVERAGE(C8:M8)</f>
        <v>0.95404262101534831</v>
      </c>
      <c r="O8" s="315"/>
    </row>
    <row r="9" spans="2:15" hidden="1">
      <c r="B9" s="248" t="s">
        <v>987</v>
      </c>
      <c r="C9" s="242">
        <f>+'DIRECCIONAMIENTO ESTRATEGICO'!N16</f>
        <v>0.99651428571428569</v>
      </c>
      <c r="D9" s="242">
        <f>+'DIRECCIONAMIENTO ESTRATEGICO'!O16</f>
        <v>1</v>
      </c>
      <c r="E9" s="242">
        <f>+'DIRECCIONAMIENTO ESTRATEGICO'!P16</f>
        <v>0.99428571428571444</v>
      </c>
      <c r="F9" s="242">
        <f>+'DIRECCIONAMIENTO ESTRATEGICO'!Q16</f>
        <v>0.8214285714285714</v>
      </c>
      <c r="G9" s="242">
        <f>+'DIRECCIONAMIENTO ESTRATEGICO'!R16</f>
        <v>0.99908571428571424</v>
      </c>
      <c r="H9" s="242">
        <f>+'DIRECCIONAMIENTO ESTRATEGICO'!S16</f>
        <v>0.67666666666666664</v>
      </c>
      <c r="I9" s="242">
        <f>+'DIRECCIONAMIENTO ESTRATEGICO'!T16</f>
        <v>0.98285714285714287</v>
      </c>
      <c r="J9" s="242">
        <f>+'DIRECCIONAMIENTO ESTRATEGICO'!U16</f>
        <v>0.94285714285714284</v>
      </c>
      <c r="K9" s="242">
        <f>+'DIRECCIONAMIENTO ESTRATEGICO'!V16</f>
        <v>1</v>
      </c>
      <c r="L9" s="242">
        <f>+'DIRECCIONAMIENTO ESTRATEGICO'!W16</f>
        <v>1</v>
      </c>
      <c r="M9" s="242">
        <f>+'DIRECCIONAMIENTO ESTRATEGICO'!X16</f>
        <v>0.99285714285714288</v>
      </c>
      <c r="N9" s="247">
        <f t="shared" ref="N9:N14" si="0">+AVERAGE(C9:M9)</f>
        <v>0.94605021645021636</v>
      </c>
      <c r="O9" s="315"/>
    </row>
    <row r="10" spans="2:15" hidden="1">
      <c r="B10" s="248" t="s">
        <v>988</v>
      </c>
      <c r="C10" s="242">
        <f>+'VALORES PARA RESULTADOS'!N21</f>
        <v>0.98414166666666658</v>
      </c>
      <c r="D10" s="242">
        <f>+'VALORES PARA RESULTADOS'!O21</f>
        <v>0.97224999999999995</v>
      </c>
      <c r="E10" s="242">
        <f>+'VALORES PARA RESULTADOS'!P21</f>
        <v>0.98266184942319945</v>
      </c>
      <c r="F10" s="242">
        <f>+'VALORES PARA RESULTADOS'!Q21</f>
        <v>0.9325</v>
      </c>
      <c r="G10" s="242">
        <f>+'VALORES PARA RESULTADOS'!R21</f>
        <v>0.98227500000000001</v>
      </c>
      <c r="H10" s="242">
        <f>+'VALORES PARA RESULTADOS'!S21</f>
        <v>0.94727272727272727</v>
      </c>
      <c r="I10" s="242">
        <f>+'VALORES PARA RESULTADOS'!T21</f>
        <v>0.90583333333333338</v>
      </c>
      <c r="J10" s="242">
        <f>+'VALORES PARA RESULTADOS'!U21</f>
        <v>1</v>
      </c>
      <c r="K10" s="242">
        <f>+'VALORES PARA RESULTADOS'!V21</f>
        <v>0.64</v>
      </c>
      <c r="L10" s="242">
        <f>+'VALORES PARA RESULTADOS'!W21</f>
        <v>0.9916666666666667</v>
      </c>
      <c r="M10" s="242">
        <f>+'VALORES PARA RESULTADOS'!X21</f>
        <v>0.92272727272727273</v>
      </c>
      <c r="N10" s="247">
        <f t="shared" si="0"/>
        <v>0.93284804691726064</v>
      </c>
      <c r="O10" s="315"/>
    </row>
    <row r="11" spans="2:15" hidden="1">
      <c r="B11" s="248" t="s">
        <v>989</v>
      </c>
      <c r="C11" s="242">
        <f>+'EVALUACIÓN DE RESULTADOS'!N15</f>
        <v>0.99475000000000013</v>
      </c>
      <c r="D11" s="242">
        <f>+'EVALUACIÓN DE RESULTADOS'!O15</f>
        <v>1</v>
      </c>
      <c r="E11" s="242">
        <f>+'EVALUACIÓN DE RESULTADOS'!P15</f>
        <v>1</v>
      </c>
      <c r="F11" s="242">
        <f>+'EVALUACIÓN DE RESULTADOS'!Q15</f>
        <v>0.93333333333333324</v>
      </c>
      <c r="G11" s="242">
        <f>+'EVALUACIÓN DE RESULTADOS'!R15</f>
        <v>0.9966666666666667</v>
      </c>
      <c r="H11" s="242">
        <f>+'EVALUACIÓN DE RESULTADOS'!S15</f>
        <v>1</v>
      </c>
      <c r="I11" s="242">
        <f>+'EVALUACIÓN DE RESULTADOS'!T15</f>
        <v>1</v>
      </c>
      <c r="J11" s="242">
        <f>+'EVALUACIÓN DE RESULTADOS'!U15</f>
        <v>1</v>
      </c>
      <c r="K11" s="242">
        <f>+'EVALUACIÓN DE RESULTADOS'!V15</f>
        <v>0.83333333333333337</v>
      </c>
      <c r="L11" s="242">
        <f>+'EVALUACIÓN DE RESULTADOS'!W15</f>
        <v>1</v>
      </c>
      <c r="M11" s="242">
        <f>+'EVALUACIÓN DE RESULTADOS'!X15</f>
        <v>1</v>
      </c>
      <c r="N11" s="247">
        <f t="shared" si="0"/>
        <v>0.9780075757575758</v>
      </c>
      <c r="O11" s="315"/>
    </row>
    <row r="12" spans="2:15" hidden="1">
      <c r="B12" s="248" t="s">
        <v>990</v>
      </c>
      <c r="C12" s="242">
        <f>+'INFORMACIÓN Y COMUNICACIÓN'!N19</f>
        <v>0.93599999999999994</v>
      </c>
      <c r="D12" s="242">
        <f>+'INFORMACIÓN Y COMUNICACIÓN'!O19</f>
        <v>0.85600000000000009</v>
      </c>
      <c r="E12" s="242">
        <f>+'INFORMACIÓN Y COMUNICACIÓN'!P19</f>
        <v>0.94444444444444442</v>
      </c>
      <c r="F12" s="242">
        <f>+'INFORMACIÓN Y COMUNICACIÓN'!Q19</f>
        <v>1</v>
      </c>
      <c r="G12" s="242">
        <f>+'INFORMACIÓN Y COMUNICACIÓN'!R19</f>
        <v>1</v>
      </c>
      <c r="H12" s="242">
        <f>+'INFORMACIÓN Y COMUNICACIÓN'!S19</f>
        <v>0.91200000000000014</v>
      </c>
      <c r="I12" s="242">
        <f>+'INFORMACIÓN Y COMUNICACIÓN'!T19</f>
        <v>0.92500000000000004</v>
      </c>
      <c r="J12" s="242">
        <f>+'INFORMACIÓN Y COMUNICACIÓN'!U19</f>
        <v>0.78</v>
      </c>
      <c r="K12" s="242">
        <f>+'INFORMACIÓN Y COMUNICACIÓN'!V19</f>
        <v>0.63</v>
      </c>
      <c r="L12" s="242">
        <f>+'INFORMACIÓN Y COMUNICACIÓN'!W19</f>
        <v>0.88000000000000012</v>
      </c>
      <c r="M12" s="242">
        <f>+'INFORMACIÓN Y COMUNICACIÓN'!X19</f>
        <v>1</v>
      </c>
      <c r="N12" s="247">
        <f t="shared" si="0"/>
        <v>0.89667676767676774</v>
      </c>
      <c r="O12" s="315"/>
    </row>
    <row r="13" spans="2:15" hidden="1">
      <c r="B13" s="248" t="s">
        <v>991</v>
      </c>
      <c r="C13" s="242">
        <f>+'GESTIÓN DEL CONOCIMIENTO'!N11</f>
        <v>1</v>
      </c>
      <c r="D13" s="242">
        <f>+'GESTIÓN DEL CONOCIMIENTO'!O11</f>
        <v>1</v>
      </c>
      <c r="E13" s="242">
        <f>+'GESTIÓN DEL CONOCIMIENTO'!P11</f>
        <v>1</v>
      </c>
      <c r="F13" s="242">
        <f>+'GESTIÓN DEL CONOCIMIENTO'!Q11</f>
        <v>0.6</v>
      </c>
      <c r="G13" s="242">
        <f>+'GESTIÓN DEL CONOCIMIENTO'!R11</f>
        <v>0.95</v>
      </c>
      <c r="H13" s="242">
        <f>+'GESTIÓN DEL CONOCIMIENTO'!S11</f>
        <v>0.5</v>
      </c>
      <c r="I13" s="242">
        <f>+'GESTIÓN DEL CONOCIMIENTO'!T11</f>
        <v>1</v>
      </c>
      <c r="J13" s="242">
        <f>+'GESTIÓN DEL CONOCIMIENTO'!U11</f>
        <v>0.5</v>
      </c>
      <c r="K13" s="242">
        <f>+'GESTIÓN DEL CONOCIMIENTO'!V11</f>
        <v>0.3</v>
      </c>
      <c r="L13" s="242">
        <f>+'GESTIÓN DEL CONOCIMIENTO'!W11</f>
        <v>0.75</v>
      </c>
      <c r="M13" s="242">
        <f>+'GESTIÓN DEL CONOCIMIENTO'!X11</f>
        <v>0.85</v>
      </c>
      <c r="N13" s="247">
        <f t="shared" si="0"/>
        <v>0.76818181818181808</v>
      </c>
      <c r="O13" s="315"/>
    </row>
    <row r="14" spans="2:15" hidden="1">
      <c r="B14" s="248" t="s">
        <v>63</v>
      </c>
      <c r="C14" s="242">
        <f>+'CONTROL INTERNO'!N13</f>
        <v>1</v>
      </c>
      <c r="D14" s="242">
        <f>+'CONTROL INTERNO'!O13</f>
        <v>1</v>
      </c>
      <c r="E14" s="242">
        <f>+'CONTROL INTERNO'!P13</f>
        <v>0.9375</v>
      </c>
      <c r="F14" s="242">
        <f>+'CONTROL INTERNO'!Q13</f>
        <v>1</v>
      </c>
      <c r="G14" s="242">
        <f>+'CONTROL INTERNO'!R13</f>
        <v>0.99249999999999994</v>
      </c>
      <c r="H14" s="242">
        <f>+'CONTROL INTERNO'!S13</f>
        <v>0.8125</v>
      </c>
      <c r="I14" s="242">
        <f>+'CONTROL INTERNO'!T13</f>
        <v>0.71250000000000002</v>
      </c>
      <c r="J14" s="242">
        <f>+'CONTROL INTERNO'!U13</f>
        <v>1</v>
      </c>
      <c r="K14" s="242">
        <f>+'CONTROL INTERNO'!V13</f>
        <v>0.77499999999999991</v>
      </c>
      <c r="L14" s="242">
        <f>+'CONTROL INTERNO'!W13</f>
        <v>1</v>
      </c>
      <c r="M14" s="242">
        <f>+'CONTROL INTERNO'!X13</f>
        <v>1</v>
      </c>
      <c r="N14" s="247">
        <f t="shared" si="0"/>
        <v>0.93</v>
      </c>
      <c r="O14" s="315"/>
    </row>
    <row r="15" spans="2:15" s="243" customFormat="1" ht="31.5" customHeight="1">
      <c r="B15" s="302" t="s">
        <v>1059</v>
      </c>
      <c r="C15" s="304">
        <f>+AVERAGE(C8:C14)</f>
        <v>0.98105799319727893</v>
      </c>
      <c r="D15" s="304">
        <f t="shared" ref="D15:M15" si="1">+AVERAGE(D8:D14)</f>
        <v>0.97289285714285711</v>
      </c>
      <c r="E15" s="304">
        <f t="shared" si="1"/>
        <v>0.97945600116476539</v>
      </c>
      <c r="F15" s="304">
        <f t="shared" si="1"/>
        <v>0.89175170068027199</v>
      </c>
      <c r="G15" s="304">
        <f t="shared" si="1"/>
        <v>0.98721819727891158</v>
      </c>
      <c r="H15" s="304">
        <f t="shared" si="1"/>
        <v>0.81220562770562765</v>
      </c>
      <c r="I15" s="304">
        <f t="shared" si="1"/>
        <v>0.91802721088435379</v>
      </c>
      <c r="J15" s="304">
        <f t="shared" si="1"/>
        <v>0.88183673469387747</v>
      </c>
      <c r="K15" s="304">
        <f t="shared" si="1"/>
        <v>0.73292888064316641</v>
      </c>
      <c r="L15" s="304">
        <f t="shared" si="1"/>
        <v>0.94595238095238099</v>
      </c>
      <c r="M15" s="304">
        <f t="shared" si="1"/>
        <v>0.96294063079777359</v>
      </c>
      <c r="N15" s="304">
        <f>AVERAGE(C15:M15)</f>
        <v>0.91511529228556943</v>
      </c>
    </row>
    <row r="16" spans="2:15" ht="12.75" customHeight="1">
      <c r="B16" s="303"/>
      <c r="C16" s="244"/>
      <c r="D16" s="244"/>
      <c r="E16" s="244"/>
      <c r="F16" s="244"/>
      <c r="G16" s="244"/>
      <c r="H16" s="244"/>
      <c r="I16" s="244"/>
      <c r="J16" s="244"/>
      <c r="K16" s="244"/>
      <c r="L16" s="244"/>
      <c r="M16" s="244"/>
      <c r="N16" s="244"/>
    </row>
    <row r="18" spans="2:3" ht="45">
      <c r="B18" s="302" t="s">
        <v>985</v>
      </c>
      <c r="C18" s="302" t="s">
        <v>1055</v>
      </c>
    </row>
    <row r="19" spans="2:3">
      <c r="B19" s="300" t="s">
        <v>989</v>
      </c>
      <c r="C19" s="301">
        <f>+'EVALUACIÓN DE RESULTADOS'!Y15</f>
        <v>0.9780075757575758</v>
      </c>
    </row>
    <row r="20" spans="2:3">
      <c r="B20" s="300" t="s">
        <v>987</v>
      </c>
      <c r="C20" s="301">
        <f>+'DIRECCIONAMIENTO ESTRATEGICO'!Y16</f>
        <v>0.95024935064935068</v>
      </c>
    </row>
    <row r="21" spans="2:3">
      <c r="B21" s="300" t="s">
        <v>986</v>
      </c>
      <c r="C21" s="301">
        <f>+'TALENTO HUMANO'!Y19</f>
        <v>0.9540426210153482</v>
      </c>
    </row>
    <row r="22" spans="2:3">
      <c r="B22" s="300" t="s">
        <v>63</v>
      </c>
      <c r="C22" s="301">
        <f>+'CONTROL INTERNO'!Y13</f>
        <v>0.92999999999999994</v>
      </c>
    </row>
    <row r="23" spans="2:3">
      <c r="B23" s="300" t="s">
        <v>988</v>
      </c>
      <c r="C23" s="301">
        <f>+'VALORES PARA RESULTADOS'!Y21</f>
        <v>0.93329417486338839</v>
      </c>
    </row>
    <row r="24" spans="2:3">
      <c r="B24" s="300" t="s">
        <v>990</v>
      </c>
      <c r="C24" s="301">
        <f>+'INFORMACIÓN Y COMUNICACIÓN'!Y19</f>
        <v>0.89460909090909069</v>
      </c>
    </row>
    <row r="25" spans="2:3">
      <c r="B25" s="300" t="s">
        <v>991</v>
      </c>
      <c r="C25" s="301">
        <f>+'GESTIÓN DEL CONOCIMIENTO'!Y11</f>
        <v>0.76818181818181819</v>
      </c>
    </row>
    <row r="26" spans="2:3" ht="31.5" customHeight="1">
      <c r="B26" s="302" t="s">
        <v>1058</v>
      </c>
      <c r="C26" s="305">
        <f>AVERAGE(C19:C25)</f>
        <v>0.91548351876808187</v>
      </c>
    </row>
    <row r="52" spans="5:5">
      <c r="E52" s="245"/>
    </row>
  </sheetData>
  <sortState ref="C15:M15">
    <sortCondition descending="1" ref="C7"/>
  </sortState>
  <mergeCells count="3">
    <mergeCell ref="B5:B6"/>
    <mergeCell ref="C5:N6"/>
    <mergeCell ref="O8:O14"/>
  </mergeCells>
  <pageMargins left="0.7" right="0.7" top="0.75" bottom="0.75" header="0.3" footer="0.3"/>
  <pageSetup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080"/>
  </sheetPr>
  <dimension ref="A1:Y20"/>
  <sheetViews>
    <sheetView zoomScale="70" zoomScaleNormal="70" workbookViewId="0">
      <selection activeCell="P8" sqref="P8"/>
    </sheetView>
  </sheetViews>
  <sheetFormatPr baseColWidth="10" defaultColWidth="10.7109375" defaultRowHeight="12.75"/>
  <cols>
    <col min="1" max="1" width="19.7109375" customWidth="1"/>
    <col min="2" max="2" width="19.85546875" customWidth="1"/>
    <col min="3" max="3" width="19.5703125" style="14" customWidth="1"/>
    <col min="4" max="4" width="18" customWidth="1"/>
    <col min="5" max="5" width="25.140625" customWidth="1"/>
    <col min="6" max="6" width="17.5703125" customWidth="1"/>
    <col min="7" max="7" width="37" customWidth="1"/>
    <col min="8" max="8" width="14" hidden="1" customWidth="1"/>
    <col min="9" max="9" width="14.42578125" hidden="1" customWidth="1"/>
    <col min="10" max="11" width="15" hidden="1" customWidth="1"/>
    <col min="12" max="12" width="14.7109375" hidden="1" customWidth="1"/>
    <col min="13" max="13" width="19.140625" customWidth="1"/>
    <col min="14" max="14" width="11.7109375" customWidth="1"/>
    <col min="15" max="15" width="13.85546875" customWidth="1"/>
    <col min="16" max="16" width="13" customWidth="1"/>
    <col min="17" max="18" width="12.7109375" customWidth="1"/>
    <col min="19" max="19" width="12.42578125" customWidth="1"/>
    <col min="20" max="20" width="12.85546875" customWidth="1"/>
    <col min="21" max="21" width="12.7109375" customWidth="1"/>
    <col min="23" max="23" width="12.140625" customWidth="1"/>
    <col min="25" max="25" width="13.7109375" customWidth="1"/>
  </cols>
  <sheetData>
    <row r="1" spans="1:25" ht="28.5" customHeight="1">
      <c r="A1" s="13"/>
      <c r="B1" s="13"/>
      <c r="D1" s="13"/>
      <c r="E1" s="13"/>
      <c r="F1" s="13"/>
      <c r="G1" s="13"/>
      <c r="H1" s="13"/>
      <c r="I1" s="13"/>
      <c r="J1" s="13"/>
      <c r="K1" s="13"/>
      <c r="L1" s="13"/>
      <c r="M1" s="13"/>
      <c r="N1" s="13"/>
      <c r="O1" s="13"/>
    </row>
    <row r="2" spans="1:25" ht="24" customHeight="1">
      <c r="A2" s="13"/>
      <c r="B2" s="13"/>
      <c r="D2" s="13"/>
      <c r="E2" s="13"/>
      <c r="F2" s="13"/>
      <c r="G2" s="13"/>
      <c r="H2" s="13"/>
      <c r="I2" s="13"/>
      <c r="J2" s="13"/>
      <c r="K2" s="13"/>
      <c r="L2" s="13"/>
      <c r="M2" s="13"/>
      <c r="N2" s="13"/>
      <c r="O2" s="13"/>
    </row>
    <row r="3" spans="1:25" ht="12" customHeight="1">
      <c r="A3" s="13"/>
      <c r="B3" s="13"/>
      <c r="D3" s="13"/>
      <c r="E3" s="13"/>
      <c r="F3" s="13"/>
      <c r="G3" s="13"/>
      <c r="H3" s="13"/>
      <c r="I3" s="13"/>
      <c r="J3" s="13"/>
      <c r="K3" s="13"/>
      <c r="L3" s="13"/>
      <c r="M3" s="13"/>
      <c r="N3" s="13"/>
      <c r="O3" s="13"/>
    </row>
    <row r="4" spans="1:25" ht="33.75">
      <c r="A4" s="316" t="s">
        <v>512</v>
      </c>
      <c r="B4" s="316"/>
      <c r="C4" s="316"/>
      <c r="D4" s="316"/>
      <c r="E4" s="316"/>
      <c r="F4" s="316"/>
      <c r="G4" s="316"/>
      <c r="H4" s="316"/>
      <c r="I4" s="316"/>
      <c r="J4" s="316"/>
      <c r="K4" s="316"/>
      <c r="L4" s="316"/>
      <c r="M4" s="316"/>
      <c r="N4" s="316"/>
      <c r="O4" s="316"/>
      <c r="P4" s="316"/>
      <c r="Q4" s="316"/>
      <c r="R4" s="316"/>
      <c r="S4" s="316"/>
      <c r="T4" s="316"/>
      <c r="U4" s="316"/>
      <c r="V4" s="316"/>
      <c r="W4" s="316"/>
      <c r="X4" s="316"/>
      <c r="Y4" s="316"/>
    </row>
    <row r="5" spans="1:25" ht="28.5" customHeight="1">
      <c r="A5" s="327" t="s">
        <v>103</v>
      </c>
      <c r="B5" s="327" t="s">
        <v>74</v>
      </c>
      <c r="C5" s="326" t="s">
        <v>65</v>
      </c>
      <c r="D5" s="326" t="s">
        <v>66</v>
      </c>
      <c r="E5" s="326" t="s">
        <v>67</v>
      </c>
      <c r="F5" s="326" t="s">
        <v>68</v>
      </c>
      <c r="G5" s="326" t="s">
        <v>69</v>
      </c>
      <c r="H5" s="328" t="s">
        <v>70</v>
      </c>
      <c r="I5" s="328"/>
      <c r="J5" s="326" t="s">
        <v>79</v>
      </c>
      <c r="K5" s="326"/>
      <c r="L5" s="326"/>
      <c r="M5" s="326"/>
      <c r="N5" s="317" t="s">
        <v>558</v>
      </c>
      <c r="O5" s="317"/>
      <c r="P5" s="317"/>
      <c r="Q5" s="317"/>
      <c r="R5" s="317"/>
      <c r="S5" s="317"/>
      <c r="T5" s="317"/>
      <c r="U5" s="317"/>
      <c r="V5" s="317"/>
      <c r="W5" s="317"/>
      <c r="X5" s="317"/>
      <c r="Y5" s="317"/>
    </row>
    <row r="6" spans="1:25" ht="21" customHeight="1">
      <c r="A6" s="327"/>
      <c r="B6" s="327"/>
      <c r="C6" s="326"/>
      <c r="D6" s="326"/>
      <c r="E6" s="326"/>
      <c r="F6" s="326"/>
      <c r="G6" s="326"/>
      <c r="H6" s="326" t="s">
        <v>71</v>
      </c>
      <c r="I6" s="326" t="s">
        <v>72</v>
      </c>
      <c r="J6" s="116" t="s">
        <v>75</v>
      </c>
      <c r="K6" s="116" t="s">
        <v>76</v>
      </c>
      <c r="L6" s="116" t="s">
        <v>77</v>
      </c>
      <c r="M6" s="116" t="s">
        <v>78</v>
      </c>
      <c r="N6" s="317"/>
      <c r="O6" s="317"/>
      <c r="P6" s="317"/>
      <c r="Q6" s="317"/>
      <c r="R6" s="317"/>
      <c r="S6" s="317"/>
      <c r="T6" s="317"/>
      <c r="U6" s="317"/>
      <c r="V6" s="317"/>
      <c r="W6" s="317"/>
      <c r="X6" s="317"/>
      <c r="Y6" s="317"/>
    </row>
    <row r="7" spans="1:25" ht="42.75" customHeight="1">
      <c r="A7" s="327"/>
      <c r="B7" s="327"/>
      <c r="C7" s="326"/>
      <c r="D7" s="326"/>
      <c r="E7" s="326"/>
      <c r="F7" s="326"/>
      <c r="G7" s="326"/>
      <c r="H7" s="326"/>
      <c r="I7" s="326"/>
      <c r="J7" s="117" t="s">
        <v>64</v>
      </c>
      <c r="K7" s="117" t="s">
        <v>64</v>
      </c>
      <c r="L7" s="117" t="s">
        <v>64</v>
      </c>
      <c r="M7" s="117" t="s">
        <v>64</v>
      </c>
      <c r="N7" s="184" t="s">
        <v>198</v>
      </c>
      <c r="O7" s="184" t="s">
        <v>349</v>
      </c>
      <c r="P7" s="184" t="s">
        <v>283</v>
      </c>
      <c r="Q7" s="184" t="s">
        <v>371</v>
      </c>
      <c r="R7" s="184" t="s">
        <v>380</v>
      </c>
      <c r="S7" s="184" t="s">
        <v>391</v>
      </c>
      <c r="T7" s="184" t="s">
        <v>487</v>
      </c>
      <c r="U7" s="184" t="s">
        <v>392</v>
      </c>
      <c r="V7" s="184" t="s">
        <v>555</v>
      </c>
      <c r="W7" s="184" t="s">
        <v>397</v>
      </c>
      <c r="X7" s="184" t="s">
        <v>556</v>
      </c>
      <c r="Y7" s="184" t="s">
        <v>557</v>
      </c>
    </row>
    <row r="8" spans="1:25" ht="66.75" customHeight="1">
      <c r="A8" s="319" t="s">
        <v>60</v>
      </c>
      <c r="B8" s="318" t="s">
        <v>89</v>
      </c>
      <c r="C8" s="323" t="s">
        <v>166</v>
      </c>
      <c r="D8" s="321">
        <v>0.2</v>
      </c>
      <c r="E8" s="95" t="s">
        <v>182</v>
      </c>
      <c r="F8" s="95">
        <v>1</v>
      </c>
      <c r="G8" s="320" t="s">
        <v>167</v>
      </c>
      <c r="H8" s="95" t="s">
        <v>168</v>
      </c>
      <c r="I8" s="17" t="s">
        <v>169</v>
      </c>
      <c r="J8" s="24">
        <v>1</v>
      </c>
      <c r="K8" s="24">
        <v>1</v>
      </c>
      <c r="L8" s="24">
        <v>1</v>
      </c>
      <c r="M8" s="24">
        <v>1</v>
      </c>
      <c r="N8" s="120">
        <v>1</v>
      </c>
      <c r="O8" s="119">
        <v>1</v>
      </c>
      <c r="P8" s="119">
        <v>1</v>
      </c>
      <c r="Q8" s="119">
        <v>1</v>
      </c>
      <c r="R8" s="119">
        <v>1</v>
      </c>
      <c r="S8" s="119">
        <v>1</v>
      </c>
      <c r="T8" s="120">
        <v>1</v>
      </c>
      <c r="U8" s="119">
        <v>1</v>
      </c>
      <c r="V8" s="120">
        <v>1</v>
      </c>
      <c r="W8" s="120">
        <v>1</v>
      </c>
      <c r="X8" s="120">
        <v>1</v>
      </c>
      <c r="Y8" s="227">
        <f>+AVERAGE(N8:X8)</f>
        <v>1</v>
      </c>
    </row>
    <row r="9" spans="1:25" ht="65.25" customHeight="1">
      <c r="A9" s="319"/>
      <c r="B9" s="318"/>
      <c r="C9" s="323"/>
      <c r="D9" s="321"/>
      <c r="E9" s="95" t="s">
        <v>105</v>
      </c>
      <c r="F9" s="93">
        <v>1</v>
      </c>
      <c r="G9" s="320"/>
      <c r="H9" s="95" t="s">
        <v>168</v>
      </c>
      <c r="I9" s="17">
        <v>43465</v>
      </c>
      <c r="J9" s="24">
        <v>0.25</v>
      </c>
      <c r="K9" s="24">
        <v>0.5</v>
      </c>
      <c r="L9" s="24">
        <v>0.75</v>
      </c>
      <c r="M9" s="24">
        <v>1</v>
      </c>
      <c r="N9" s="120">
        <v>1</v>
      </c>
      <c r="O9" s="119">
        <v>1</v>
      </c>
      <c r="P9" s="119">
        <v>1</v>
      </c>
      <c r="Q9" s="119">
        <v>1</v>
      </c>
      <c r="R9" s="119">
        <v>1</v>
      </c>
      <c r="S9" s="119">
        <v>0.64</v>
      </c>
      <c r="T9" s="120">
        <v>0.9</v>
      </c>
      <c r="U9" s="119">
        <v>1</v>
      </c>
      <c r="V9" s="120">
        <f>10.5/11</f>
        <v>0.95454545454545459</v>
      </c>
      <c r="W9" s="120">
        <v>1</v>
      </c>
      <c r="X9" s="120">
        <v>1</v>
      </c>
      <c r="Y9" s="227">
        <f t="shared" ref="Y9:Y17" si="0">+AVERAGE(N9:X9)</f>
        <v>0.95404958677685947</v>
      </c>
    </row>
    <row r="10" spans="1:25" ht="31.5" customHeight="1">
      <c r="A10" s="319"/>
      <c r="B10" s="318"/>
      <c r="C10" s="325" t="s">
        <v>170</v>
      </c>
      <c r="D10" s="321">
        <v>0.2</v>
      </c>
      <c r="E10" s="95" t="s">
        <v>105</v>
      </c>
      <c r="F10" s="95" t="s">
        <v>171</v>
      </c>
      <c r="G10" s="320" t="s">
        <v>172</v>
      </c>
      <c r="H10" s="94">
        <v>43101</v>
      </c>
      <c r="I10" s="17">
        <v>43190</v>
      </c>
      <c r="J10" s="24">
        <v>1</v>
      </c>
      <c r="K10" s="24">
        <v>1</v>
      </c>
      <c r="L10" s="24">
        <v>1</v>
      </c>
      <c r="M10" s="24">
        <v>1</v>
      </c>
      <c r="N10" s="120">
        <v>0.95</v>
      </c>
      <c r="O10" s="119">
        <v>1</v>
      </c>
      <c r="P10" s="119">
        <v>1</v>
      </c>
      <c r="Q10" s="119">
        <v>1</v>
      </c>
      <c r="R10" s="120">
        <v>1</v>
      </c>
      <c r="S10" s="119">
        <v>1</v>
      </c>
      <c r="T10" s="120">
        <v>1</v>
      </c>
      <c r="U10" s="119">
        <v>1</v>
      </c>
      <c r="V10" s="120">
        <f>53/53</f>
        <v>1</v>
      </c>
      <c r="W10" s="120">
        <v>1</v>
      </c>
      <c r="X10" s="120">
        <v>1</v>
      </c>
      <c r="Y10" s="227">
        <f t="shared" si="0"/>
        <v>0.99545454545454537</v>
      </c>
    </row>
    <row r="11" spans="1:25" ht="124.5" customHeight="1">
      <c r="A11" s="319"/>
      <c r="B11" s="318"/>
      <c r="C11" s="325"/>
      <c r="D11" s="321"/>
      <c r="E11" s="95" t="s">
        <v>105</v>
      </c>
      <c r="F11" s="95" t="s">
        <v>173</v>
      </c>
      <c r="G11" s="320"/>
      <c r="H11" s="94">
        <v>43101</v>
      </c>
      <c r="I11" s="17">
        <v>43465</v>
      </c>
      <c r="J11" s="24">
        <v>0.25</v>
      </c>
      <c r="K11" s="24">
        <v>0.5</v>
      </c>
      <c r="L11" s="24">
        <v>0.75</v>
      </c>
      <c r="M11" s="24">
        <v>1</v>
      </c>
      <c r="N11" s="119">
        <v>1</v>
      </c>
      <c r="O11" s="119">
        <v>0.82</v>
      </c>
      <c r="P11" s="119">
        <v>1</v>
      </c>
      <c r="Q11" s="120">
        <v>0.75</v>
      </c>
      <c r="R11" s="119">
        <v>1</v>
      </c>
      <c r="S11" s="119">
        <v>1</v>
      </c>
      <c r="T11" s="120">
        <v>1</v>
      </c>
      <c r="U11" s="119">
        <v>1</v>
      </c>
      <c r="V11" s="120">
        <v>1</v>
      </c>
      <c r="W11" s="120">
        <v>1</v>
      </c>
      <c r="X11" s="120">
        <v>1</v>
      </c>
      <c r="Y11" s="227">
        <f t="shared" si="0"/>
        <v>0.96090909090909093</v>
      </c>
    </row>
    <row r="12" spans="1:25" ht="100.5" customHeight="1">
      <c r="A12" s="319"/>
      <c r="B12" s="318"/>
      <c r="C12" s="93" t="s">
        <v>174</v>
      </c>
      <c r="D12" s="90">
        <v>0.2</v>
      </c>
      <c r="E12" s="95" t="s">
        <v>105</v>
      </c>
      <c r="F12" s="95">
        <v>100</v>
      </c>
      <c r="G12" s="96" t="s">
        <v>175</v>
      </c>
      <c r="H12" s="94">
        <v>43101</v>
      </c>
      <c r="I12" s="17">
        <v>43465</v>
      </c>
      <c r="J12" s="24">
        <v>0.25</v>
      </c>
      <c r="K12" s="24">
        <v>0.5</v>
      </c>
      <c r="L12" s="24">
        <v>0.75</v>
      </c>
      <c r="M12" s="24">
        <v>1</v>
      </c>
      <c r="N12" s="119">
        <v>1</v>
      </c>
      <c r="O12" s="119">
        <v>1</v>
      </c>
      <c r="P12" s="119">
        <v>0.97299999999999998</v>
      </c>
      <c r="Q12" s="119">
        <v>1</v>
      </c>
      <c r="R12" s="119">
        <v>1</v>
      </c>
      <c r="S12" s="119">
        <v>0.81</v>
      </c>
      <c r="T12" s="120">
        <v>0.9</v>
      </c>
      <c r="U12" s="119">
        <v>1</v>
      </c>
      <c r="V12" s="120">
        <f>76/80</f>
        <v>0.95</v>
      </c>
      <c r="W12" s="120">
        <v>1</v>
      </c>
      <c r="X12" s="120">
        <v>0.85</v>
      </c>
      <c r="Y12" s="227">
        <f t="shared" si="0"/>
        <v>0.95299999999999985</v>
      </c>
    </row>
    <row r="13" spans="1:25" ht="165.75" customHeight="1">
      <c r="A13" s="319"/>
      <c r="B13" s="318"/>
      <c r="C13" s="93" t="s">
        <v>176</v>
      </c>
      <c r="D13" s="90">
        <v>0.1</v>
      </c>
      <c r="E13" s="95" t="s">
        <v>105</v>
      </c>
      <c r="F13" s="95">
        <v>100</v>
      </c>
      <c r="G13" s="96" t="s">
        <v>177</v>
      </c>
      <c r="H13" s="94">
        <v>43101</v>
      </c>
      <c r="I13" s="17">
        <v>43465</v>
      </c>
      <c r="J13" s="24">
        <v>0.25</v>
      </c>
      <c r="K13" s="24">
        <v>0.5</v>
      </c>
      <c r="L13" s="24">
        <v>0.75</v>
      </c>
      <c r="M13" s="24">
        <v>1</v>
      </c>
      <c r="N13" s="119">
        <v>1</v>
      </c>
      <c r="O13" s="119">
        <v>1</v>
      </c>
      <c r="P13" s="119">
        <v>1</v>
      </c>
      <c r="Q13" s="119">
        <v>1</v>
      </c>
      <c r="R13" s="119">
        <v>0.95</v>
      </c>
      <c r="S13" s="119">
        <v>0.66</v>
      </c>
      <c r="T13" s="120">
        <v>0.8</v>
      </c>
      <c r="U13" s="119">
        <v>1</v>
      </c>
      <c r="V13" s="120">
        <f>38/50</f>
        <v>0.76</v>
      </c>
      <c r="W13" s="120">
        <v>1</v>
      </c>
      <c r="X13" s="120">
        <v>1</v>
      </c>
      <c r="Y13" s="227">
        <f t="shared" si="0"/>
        <v>0.92454545454545456</v>
      </c>
    </row>
    <row r="14" spans="1:25" ht="276.75" customHeight="1">
      <c r="A14" s="319"/>
      <c r="B14" s="318"/>
      <c r="C14" s="92" t="s">
        <v>189</v>
      </c>
      <c r="D14" s="90">
        <v>0.1</v>
      </c>
      <c r="E14" s="95" t="s">
        <v>105</v>
      </c>
      <c r="F14" s="93">
        <v>0.8</v>
      </c>
      <c r="G14" s="96" t="s">
        <v>178</v>
      </c>
      <c r="H14" s="95" t="s">
        <v>168</v>
      </c>
      <c r="I14" s="17">
        <v>43465</v>
      </c>
      <c r="J14" s="24">
        <v>0.25</v>
      </c>
      <c r="K14" s="24">
        <v>0.5</v>
      </c>
      <c r="L14" s="24">
        <v>0.75</v>
      </c>
      <c r="M14" s="24">
        <v>1</v>
      </c>
      <c r="N14" s="119">
        <v>1</v>
      </c>
      <c r="O14" s="119">
        <v>1</v>
      </c>
      <c r="P14" s="119">
        <v>1</v>
      </c>
      <c r="Q14" s="119">
        <v>1</v>
      </c>
      <c r="R14" s="119">
        <v>1</v>
      </c>
      <c r="S14" s="119">
        <v>0.67</v>
      </c>
      <c r="T14" s="120">
        <v>0.8</v>
      </c>
      <c r="U14" s="119">
        <v>1</v>
      </c>
      <c r="V14" s="120">
        <f>6/7</f>
        <v>0.8571428571428571</v>
      </c>
      <c r="W14" s="120">
        <v>1</v>
      </c>
      <c r="X14" s="120">
        <v>0.95</v>
      </c>
      <c r="Y14" s="227">
        <f t="shared" si="0"/>
        <v>0.93428571428571416</v>
      </c>
    </row>
    <row r="15" spans="1:25" ht="172.5" customHeight="1">
      <c r="A15" s="319"/>
      <c r="B15" s="318"/>
      <c r="C15" s="91" t="s">
        <v>179</v>
      </c>
      <c r="D15" s="90">
        <v>0.1</v>
      </c>
      <c r="E15" s="95" t="s">
        <v>105</v>
      </c>
      <c r="F15" s="93">
        <v>0.9</v>
      </c>
      <c r="G15" s="96" t="s">
        <v>183</v>
      </c>
      <c r="H15" s="95" t="s">
        <v>168</v>
      </c>
      <c r="I15" s="17">
        <v>43465</v>
      </c>
      <c r="J15" s="24">
        <v>0.25</v>
      </c>
      <c r="K15" s="24">
        <v>0.5</v>
      </c>
      <c r="L15" s="24">
        <v>0.75</v>
      </c>
      <c r="M15" s="24">
        <v>1</v>
      </c>
      <c r="N15" s="119">
        <v>1</v>
      </c>
      <c r="O15" s="119">
        <v>1</v>
      </c>
      <c r="P15" s="119">
        <v>1</v>
      </c>
      <c r="Q15" s="119">
        <v>1</v>
      </c>
      <c r="R15" s="119">
        <v>0.95</v>
      </c>
      <c r="S15" s="119">
        <v>0.59</v>
      </c>
      <c r="T15" s="120">
        <v>1</v>
      </c>
      <c r="U15" s="119">
        <v>1</v>
      </c>
      <c r="V15" s="120">
        <f>30/30</f>
        <v>1</v>
      </c>
      <c r="W15" s="120">
        <v>1</v>
      </c>
      <c r="X15" s="120">
        <v>0.95</v>
      </c>
      <c r="Y15" s="227">
        <f t="shared" si="0"/>
        <v>0.9536363636363635</v>
      </c>
    </row>
    <row r="16" spans="1:25" ht="35.25" customHeight="1">
      <c r="A16" s="319"/>
      <c r="B16" s="318" t="s">
        <v>90</v>
      </c>
      <c r="C16" s="324" t="s">
        <v>180</v>
      </c>
      <c r="D16" s="321">
        <v>0.1</v>
      </c>
      <c r="E16" s="95" t="s">
        <v>182</v>
      </c>
      <c r="F16" s="95">
        <v>1</v>
      </c>
      <c r="G16" s="322" t="s">
        <v>181</v>
      </c>
      <c r="H16" s="95" t="s">
        <v>168</v>
      </c>
      <c r="I16" s="17" t="s">
        <v>169</v>
      </c>
      <c r="J16" s="24">
        <v>1</v>
      </c>
      <c r="K16" s="24">
        <v>1</v>
      </c>
      <c r="L16" s="24">
        <v>1</v>
      </c>
      <c r="M16" s="24">
        <v>1</v>
      </c>
      <c r="N16" s="119">
        <v>1</v>
      </c>
      <c r="O16" s="119">
        <v>1</v>
      </c>
      <c r="P16" s="119">
        <v>1</v>
      </c>
      <c r="Q16" s="119">
        <v>1</v>
      </c>
      <c r="R16" s="119">
        <v>1</v>
      </c>
      <c r="S16" s="119">
        <v>1</v>
      </c>
      <c r="T16" s="120">
        <v>1</v>
      </c>
      <c r="U16" s="119">
        <v>1</v>
      </c>
      <c r="V16" s="120">
        <f>5/5</f>
        <v>1</v>
      </c>
      <c r="W16" s="120">
        <v>1</v>
      </c>
      <c r="X16" s="120">
        <v>1</v>
      </c>
      <c r="Y16" s="227">
        <f t="shared" si="0"/>
        <v>1</v>
      </c>
    </row>
    <row r="17" spans="1:25" ht="35.25" customHeight="1">
      <c r="A17" s="319"/>
      <c r="B17" s="318"/>
      <c r="C17" s="324"/>
      <c r="D17" s="321"/>
      <c r="E17" s="95" t="s">
        <v>105</v>
      </c>
      <c r="F17" s="93">
        <v>1</v>
      </c>
      <c r="G17" s="322"/>
      <c r="H17" s="95" t="s">
        <v>168</v>
      </c>
      <c r="I17" s="17">
        <v>43465</v>
      </c>
      <c r="J17" s="24">
        <v>0.25</v>
      </c>
      <c r="K17" s="24">
        <v>0.5</v>
      </c>
      <c r="L17" s="24">
        <v>0.75</v>
      </c>
      <c r="M17" s="24">
        <v>1</v>
      </c>
      <c r="N17" s="119">
        <v>0.61</v>
      </c>
      <c r="O17" s="119">
        <v>1</v>
      </c>
      <c r="P17" s="119">
        <v>1</v>
      </c>
      <c r="Q17" s="119">
        <v>0.8</v>
      </c>
      <c r="R17" s="119">
        <v>1</v>
      </c>
      <c r="S17" s="119">
        <v>1</v>
      </c>
      <c r="T17" s="120">
        <v>0.6</v>
      </c>
      <c r="U17" s="119">
        <v>0.5</v>
      </c>
      <c r="V17" s="120">
        <f>3/3</f>
        <v>1</v>
      </c>
      <c r="W17" s="120">
        <v>1</v>
      </c>
      <c r="X17" s="120">
        <v>1</v>
      </c>
      <c r="Y17" s="227">
        <f t="shared" si="0"/>
        <v>0.86454545454545451</v>
      </c>
    </row>
    <row r="19" spans="1:25" ht="36" customHeight="1">
      <c r="G19" s="229" t="s">
        <v>977</v>
      </c>
      <c r="N19" s="241">
        <f>+AVERAGE(N8:N17)</f>
        <v>0.95599999999999985</v>
      </c>
      <c r="O19" s="241">
        <f t="shared" ref="O19:X19" si="1">+AVERAGE(O8:O17)</f>
        <v>0.98199999999999998</v>
      </c>
      <c r="P19" s="241">
        <f t="shared" si="1"/>
        <v>0.99729999999999985</v>
      </c>
      <c r="Q19" s="241">
        <f t="shared" si="1"/>
        <v>0.95500000000000007</v>
      </c>
      <c r="R19" s="241">
        <f t="shared" si="1"/>
        <v>0.99</v>
      </c>
      <c r="S19" s="241">
        <f t="shared" si="1"/>
        <v>0.83700000000000008</v>
      </c>
      <c r="T19" s="241">
        <f t="shared" si="1"/>
        <v>0.8999999999999998</v>
      </c>
      <c r="U19" s="241">
        <f t="shared" si="1"/>
        <v>0.95</v>
      </c>
      <c r="V19" s="241">
        <f t="shared" si="1"/>
        <v>0.95216883116883122</v>
      </c>
      <c r="W19" s="241">
        <f t="shared" si="1"/>
        <v>1</v>
      </c>
      <c r="X19" s="241">
        <f t="shared" si="1"/>
        <v>0.97499999999999998</v>
      </c>
      <c r="Y19" s="279">
        <f>AVERAGE(Y8:Y17)</f>
        <v>0.9540426210153482</v>
      </c>
    </row>
    <row r="20" spans="1:25" ht="43.5" customHeight="1">
      <c r="G20" s="229" t="s">
        <v>978</v>
      </c>
      <c r="L20" s="241">
        <f>+AVERAGE(L8:L17)</f>
        <v>0.82499999999999996</v>
      </c>
      <c r="M20" s="227">
        <f>AVERAGE(M8:M17)</f>
        <v>1</v>
      </c>
    </row>
  </sheetData>
  <mergeCells count="25">
    <mergeCell ref="I6:I7"/>
    <mergeCell ref="A5:A7"/>
    <mergeCell ref="B5:B7"/>
    <mergeCell ref="C5:C7"/>
    <mergeCell ref="D5:D7"/>
    <mergeCell ref="E5:E7"/>
    <mergeCell ref="F5:F7"/>
    <mergeCell ref="G5:G7"/>
    <mergeCell ref="H5:I5"/>
    <mergeCell ref="A4:Y4"/>
    <mergeCell ref="N5:Y6"/>
    <mergeCell ref="B8:B15"/>
    <mergeCell ref="A8:A17"/>
    <mergeCell ref="G10:G11"/>
    <mergeCell ref="D16:D17"/>
    <mergeCell ref="G16:G17"/>
    <mergeCell ref="C8:C9"/>
    <mergeCell ref="D8:D9"/>
    <mergeCell ref="G8:G9"/>
    <mergeCell ref="B16:B17"/>
    <mergeCell ref="C16:C17"/>
    <mergeCell ref="C10:C11"/>
    <mergeCell ref="D10:D11"/>
    <mergeCell ref="J5:M5"/>
    <mergeCell ref="H6:H7"/>
  </mergeCells>
  <pageMargins left="0.7" right="0.7" top="0.75" bottom="0.75" header="0.3" footer="0.3"/>
  <pageSetup orientation="portrait" horizontalDpi="4294967294" verticalDpi="4294967294"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080"/>
  </sheetPr>
  <dimension ref="A1:Y270"/>
  <sheetViews>
    <sheetView zoomScale="60" zoomScaleNormal="60" workbookViewId="0">
      <selection activeCell="P14" sqref="P14"/>
    </sheetView>
  </sheetViews>
  <sheetFormatPr baseColWidth="10" defaultColWidth="10.7109375" defaultRowHeight="12.75"/>
  <cols>
    <col min="1" max="1" width="18.28515625" style="51" customWidth="1"/>
    <col min="2" max="2" width="24.140625" style="51" customWidth="1"/>
    <col min="3" max="3" width="17.28515625" style="51" customWidth="1"/>
    <col min="4" max="4" width="17.7109375" style="51" customWidth="1"/>
    <col min="5" max="5" width="14.42578125" style="51" customWidth="1"/>
    <col min="6" max="6" width="15.5703125" style="68" customWidth="1"/>
    <col min="7" max="7" width="35.85546875" style="51" customWidth="1"/>
    <col min="8" max="9" width="15.85546875" style="51" hidden="1" customWidth="1"/>
    <col min="10" max="10" width="16.42578125" style="123" hidden="1" customWidth="1"/>
    <col min="11" max="11" width="19.5703125" style="51" hidden="1" customWidth="1"/>
    <col min="12" max="12" width="24.85546875" style="51" hidden="1" customWidth="1"/>
    <col min="13" max="13" width="30.7109375" style="51" customWidth="1"/>
    <col min="14" max="14" width="12.28515625" style="51" customWidth="1"/>
    <col min="15" max="15" width="30.7109375" style="51" customWidth="1"/>
    <col min="16" max="16" width="12.42578125" style="51" customWidth="1"/>
    <col min="17" max="17" width="24.85546875" style="51" customWidth="1"/>
    <col min="18" max="18" width="13" style="51" customWidth="1"/>
    <col min="19" max="19" width="22.42578125" style="51" customWidth="1"/>
    <col min="20" max="20" width="16.42578125" style="51" customWidth="1"/>
    <col min="21" max="21" width="42.85546875" style="51" customWidth="1"/>
    <col min="22" max="23" width="13.85546875" style="51" customWidth="1"/>
    <col min="24" max="24" width="13.5703125" style="51" customWidth="1"/>
    <col min="25" max="25" width="13.28515625" style="51" customWidth="1"/>
    <col min="26" max="16384" width="10.7109375" style="51"/>
  </cols>
  <sheetData>
    <row r="1" spans="1:25" ht="33.75" customHeight="1"/>
    <row r="2" spans="1:25" ht="33.75" customHeight="1"/>
    <row r="4" spans="1:25" ht="33.75">
      <c r="A4" s="337" t="s">
        <v>512</v>
      </c>
      <c r="B4" s="338"/>
      <c r="C4" s="338"/>
      <c r="D4" s="338"/>
      <c r="E4" s="338"/>
      <c r="F4" s="338"/>
      <c r="G4" s="338"/>
      <c r="H4" s="338"/>
      <c r="I4" s="338"/>
      <c r="J4" s="338"/>
      <c r="K4" s="338"/>
      <c r="L4" s="338"/>
      <c r="M4" s="338"/>
      <c r="N4" s="338"/>
      <c r="O4" s="338"/>
      <c r="P4" s="338"/>
      <c r="Q4" s="338"/>
      <c r="R4" s="338"/>
      <c r="S4" s="338"/>
      <c r="T4" s="338"/>
      <c r="U4" s="338"/>
      <c r="V4" s="338"/>
      <c r="W4" s="338"/>
      <c r="X4" s="338"/>
      <c r="Y4" s="338"/>
    </row>
    <row r="5" spans="1:25" ht="18.75">
      <c r="A5" s="339" t="s">
        <v>103</v>
      </c>
      <c r="B5" s="339" t="s">
        <v>74</v>
      </c>
      <c r="C5" s="339" t="s">
        <v>65</v>
      </c>
      <c r="D5" s="339" t="s">
        <v>66</v>
      </c>
      <c r="E5" s="339" t="s">
        <v>67</v>
      </c>
      <c r="F5" s="339" t="s">
        <v>68</v>
      </c>
      <c r="G5" s="339" t="s">
        <v>69</v>
      </c>
      <c r="H5" s="341" t="s">
        <v>70</v>
      </c>
      <c r="I5" s="341"/>
      <c r="J5" s="341" t="s">
        <v>79</v>
      </c>
      <c r="K5" s="341"/>
      <c r="L5" s="341"/>
      <c r="M5" s="341"/>
      <c r="N5" s="317" t="s">
        <v>558</v>
      </c>
      <c r="O5" s="317"/>
      <c r="P5" s="317"/>
      <c r="Q5" s="317"/>
      <c r="R5" s="317"/>
      <c r="S5" s="317"/>
      <c r="T5" s="317"/>
      <c r="U5" s="317"/>
      <c r="V5" s="317"/>
      <c r="W5" s="317"/>
      <c r="X5" s="317"/>
      <c r="Y5" s="317"/>
    </row>
    <row r="6" spans="1:25" ht="15.75">
      <c r="A6" s="339"/>
      <c r="B6" s="339"/>
      <c r="C6" s="339"/>
      <c r="D6" s="339"/>
      <c r="E6" s="339"/>
      <c r="F6" s="339"/>
      <c r="G6" s="339"/>
      <c r="H6" s="332" t="s">
        <v>71</v>
      </c>
      <c r="I6" s="332" t="s">
        <v>72</v>
      </c>
      <c r="J6" s="15" t="s">
        <v>75</v>
      </c>
      <c r="K6" s="15" t="s">
        <v>76</v>
      </c>
      <c r="L6" s="15" t="s">
        <v>77</v>
      </c>
      <c r="M6" s="15" t="s">
        <v>78</v>
      </c>
      <c r="N6" s="317"/>
      <c r="O6" s="317"/>
      <c r="P6" s="317"/>
      <c r="Q6" s="317"/>
      <c r="R6" s="317"/>
      <c r="S6" s="317"/>
      <c r="T6" s="317"/>
      <c r="U6" s="317"/>
      <c r="V6" s="317"/>
      <c r="W6" s="317"/>
      <c r="X6" s="317"/>
      <c r="Y6" s="317"/>
    </row>
    <row r="7" spans="1:25" ht="78" customHeight="1">
      <c r="A7" s="339"/>
      <c r="B7" s="339"/>
      <c r="C7" s="339"/>
      <c r="D7" s="339"/>
      <c r="E7" s="339"/>
      <c r="F7" s="339"/>
      <c r="G7" s="339"/>
      <c r="H7" s="332"/>
      <c r="I7" s="332"/>
      <c r="J7" s="101" t="s">
        <v>64</v>
      </c>
      <c r="K7" s="55" t="s">
        <v>64</v>
      </c>
      <c r="L7" s="55" t="s">
        <v>64</v>
      </c>
      <c r="M7" s="55" t="s">
        <v>64</v>
      </c>
      <c r="N7" s="184" t="s">
        <v>198</v>
      </c>
      <c r="O7" s="184" t="s">
        <v>349</v>
      </c>
      <c r="P7" s="184" t="s">
        <v>283</v>
      </c>
      <c r="Q7" s="184" t="s">
        <v>371</v>
      </c>
      <c r="R7" s="184" t="s">
        <v>380</v>
      </c>
      <c r="S7" s="184" t="s">
        <v>391</v>
      </c>
      <c r="T7" s="184" t="s">
        <v>487</v>
      </c>
      <c r="U7" s="184" t="s">
        <v>392</v>
      </c>
      <c r="V7" s="184" t="s">
        <v>555</v>
      </c>
      <c r="W7" s="184" t="s">
        <v>397</v>
      </c>
      <c r="X7" s="184" t="s">
        <v>556</v>
      </c>
      <c r="Y7" s="184" t="s">
        <v>557</v>
      </c>
    </row>
    <row r="8" spans="1:25" ht="172.5" customHeight="1">
      <c r="A8" s="319" t="s">
        <v>16</v>
      </c>
      <c r="B8" s="318" t="s">
        <v>80</v>
      </c>
      <c r="C8" s="70" t="s">
        <v>104</v>
      </c>
      <c r="D8" s="71">
        <v>0.25</v>
      </c>
      <c r="E8" s="16" t="s">
        <v>105</v>
      </c>
      <c r="F8" s="16">
        <v>100</v>
      </c>
      <c r="G8" s="9" t="s">
        <v>119</v>
      </c>
      <c r="H8" s="23">
        <v>43101</v>
      </c>
      <c r="I8" s="17" t="s">
        <v>106</v>
      </c>
      <c r="J8" s="114">
        <v>0.15</v>
      </c>
      <c r="K8" s="21">
        <v>0.3</v>
      </c>
      <c r="L8" s="21">
        <v>0.7</v>
      </c>
      <c r="M8" s="21">
        <v>1</v>
      </c>
      <c r="N8" s="293">
        <v>0.97909999999999997</v>
      </c>
      <c r="O8" s="32">
        <v>1</v>
      </c>
      <c r="P8" s="32">
        <v>0.98</v>
      </c>
      <c r="Q8" s="32">
        <v>0.75</v>
      </c>
      <c r="R8" s="249">
        <v>1</v>
      </c>
      <c r="S8" s="291">
        <v>0.86</v>
      </c>
      <c r="T8" s="249">
        <v>0.88</v>
      </c>
      <c r="U8" s="272">
        <v>1</v>
      </c>
      <c r="V8" s="187">
        <v>1</v>
      </c>
      <c r="W8" s="187">
        <v>1</v>
      </c>
      <c r="X8" s="187">
        <v>1</v>
      </c>
      <c r="Y8" s="231">
        <f>+AVERAGE(N8:X8)</f>
        <v>0.94991818181818177</v>
      </c>
    </row>
    <row r="9" spans="1:25" ht="114.75" customHeight="1">
      <c r="A9" s="319"/>
      <c r="B9" s="318"/>
      <c r="C9" s="70" t="s">
        <v>111</v>
      </c>
      <c r="D9" s="71">
        <v>2.5000000000000001E-2</v>
      </c>
      <c r="E9" s="16" t="s">
        <v>112</v>
      </c>
      <c r="F9" s="16">
        <v>1</v>
      </c>
      <c r="G9" s="9" t="s">
        <v>107</v>
      </c>
      <c r="H9" s="23">
        <v>43191</v>
      </c>
      <c r="I9" s="17" t="s">
        <v>106</v>
      </c>
      <c r="J9" s="114">
        <v>0</v>
      </c>
      <c r="K9" s="21">
        <v>0.3</v>
      </c>
      <c r="L9" s="21">
        <v>0.6</v>
      </c>
      <c r="M9" s="21">
        <v>1</v>
      </c>
      <c r="N9" s="292">
        <v>1</v>
      </c>
      <c r="O9" s="249">
        <v>1</v>
      </c>
      <c r="P9" s="277">
        <v>1</v>
      </c>
      <c r="Q9" s="277">
        <v>1</v>
      </c>
      <c r="R9" s="249">
        <v>1</v>
      </c>
      <c r="S9" s="291">
        <v>0</v>
      </c>
      <c r="T9" s="249">
        <v>1</v>
      </c>
      <c r="U9" s="272">
        <v>1</v>
      </c>
      <c r="V9" s="282">
        <v>1</v>
      </c>
      <c r="W9" s="187">
        <v>1</v>
      </c>
      <c r="X9" s="187">
        <v>1</v>
      </c>
      <c r="Y9" s="231">
        <f t="shared" ref="Y9:Y14" si="0">+AVERAGE(N9:X9)</f>
        <v>0.90909090909090906</v>
      </c>
    </row>
    <row r="10" spans="1:25" ht="108.75" customHeight="1">
      <c r="A10" s="319"/>
      <c r="B10" s="318"/>
      <c r="C10" s="70" t="s">
        <v>113</v>
      </c>
      <c r="D10" s="71">
        <v>0.05</v>
      </c>
      <c r="E10" s="16" t="s">
        <v>112</v>
      </c>
      <c r="F10" s="16">
        <v>1</v>
      </c>
      <c r="G10" s="9" t="s">
        <v>108</v>
      </c>
      <c r="H10" s="23">
        <v>43191</v>
      </c>
      <c r="I10" s="17" t="s">
        <v>114</v>
      </c>
      <c r="J10" s="114">
        <v>0</v>
      </c>
      <c r="K10" s="21">
        <v>0.5</v>
      </c>
      <c r="L10" s="21">
        <v>1</v>
      </c>
      <c r="M10" s="21">
        <v>1</v>
      </c>
      <c r="N10" s="292">
        <v>1</v>
      </c>
      <c r="O10" s="249">
        <v>1</v>
      </c>
      <c r="P10" s="277">
        <v>1</v>
      </c>
      <c r="Q10" s="277">
        <v>1</v>
      </c>
      <c r="R10" s="249">
        <v>1</v>
      </c>
      <c r="S10" s="291">
        <v>0.5</v>
      </c>
      <c r="T10" s="249">
        <v>1</v>
      </c>
      <c r="U10" s="272">
        <v>1</v>
      </c>
      <c r="V10" s="282">
        <v>1</v>
      </c>
      <c r="W10" s="187">
        <v>1</v>
      </c>
      <c r="X10" s="187">
        <v>1</v>
      </c>
      <c r="Y10" s="231">
        <f t="shared" si="0"/>
        <v>0.95454545454545459</v>
      </c>
    </row>
    <row r="11" spans="1:25" ht="130.5" customHeight="1">
      <c r="A11" s="319"/>
      <c r="B11" s="318"/>
      <c r="C11" s="21" t="s">
        <v>115</v>
      </c>
      <c r="D11" s="71">
        <v>0.05</v>
      </c>
      <c r="E11" s="16" t="s">
        <v>112</v>
      </c>
      <c r="F11" s="16">
        <v>1</v>
      </c>
      <c r="G11" s="9" t="s">
        <v>109</v>
      </c>
      <c r="H11" s="23">
        <v>43101</v>
      </c>
      <c r="I11" s="17" t="s">
        <v>106</v>
      </c>
      <c r="J11" s="114">
        <v>0.25</v>
      </c>
      <c r="K11" s="21">
        <v>0.5</v>
      </c>
      <c r="L11" s="21">
        <v>0.75</v>
      </c>
      <c r="M11" s="21">
        <v>1</v>
      </c>
      <c r="N11" s="292">
        <v>1</v>
      </c>
      <c r="O11" s="249">
        <v>1</v>
      </c>
      <c r="P11" s="277">
        <v>1</v>
      </c>
      <c r="Q11" s="277">
        <v>0</v>
      </c>
      <c r="R11" s="249">
        <v>1</v>
      </c>
      <c r="S11" s="291">
        <v>0.7</v>
      </c>
      <c r="T11" s="249">
        <v>1</v>
      </c>
      <c r="U11" s="272">
        <v>1</v>
      </c>
      <c r="V11" s="282">
        <v>1</v>
      </c>
      <c r="W11" s="187">
        <v>1</v>
      </c>
      <c r="X11" s="187">
        <v>1</v>
      </c>
      <c r="Y11" s="231">
        <f t="shared" si="0"/>
        <v>0.88181818181818172</v>
      </c>
    </row>
    <row r="12" spans="1:25" ht="157.5" customHeight="1">
      <c r="A12" s="319"/>
      <c r="B12" s="318" t="s">
        <v>81</v>
      </c>
      <c r="C12" s="21" t="s">
        <v>193</v>
      </c>
      <c r="D12" s="71">
        <v>7.4999999999999997E-2</v>
      </c>
      <c r="E12" s="16" t="s">
        <v>105</v>
      </c>
      <c r="F12" s="16">
        <v>100</v>
      </c>
      <c r="G12" s="9" t="s">
        <v>190</v>
      </c>
      <c r="H12" s="23">
        <v>43101</v>
      </c>
      <c r="I12" s="17" t="s">
        <v>106</v>
      </c>
      <c r="J12" s="114">
        <v>0.15</v>
      </c>
      <c r="K12" s="21">
        <v>0.3</v>
      </c>
      <c r="L12" s="21">
        <v>0.6</v>
      </c>
      <c r="M12" s="21">
        <v>1</v>
      </c>
      <c r="N12" s="294">
        <v>1</v>
      </c>
      <c r="O12" s="35">
        <v>1</v>
      </c>
      <c r="P12" s="35">
        <v>1</v>
      </c>
      <c r="Q12" s="35">
        <v>1</v>
      </c>
      <c r="R12" s="249">
        <v>1</v>
      </c>
      <c r="S12" s="291">
        <v>1</v>
      </c>
      <c r="T12" s="249">
        <v>1</v>
      </c>
      <c r="U12" s="32">
        <v>0.6</v>
      </c>
      <c r="V12" s="187">
        <v>1</v>
      </c>
      <c r="W12" s="187">
        <v>1</v>
      </c>
      <c r="X12" s="187">
        <v>1</v>
      </c>
      <c r="Y12" s="231">
        <f t="shared" si="0"/>
        <v>0.96363636363636362</v>
      </c>
    </row>
    <row r="13" spans="1:25" ht="151.5" customHeight="1">
      <c r="A13" s="319"/>
      <c r="B13" s="318"/>
      <c r="C13" s="21" t="s">
        <v>116</v>
      </c>
      <c r="D13" s="71">
        <v>2.5000000000000001E-2</v>
      </c>
      <c r="E13" s="16" t="s">
        <v>105</v>
      </c>
      <c r="F13" s="16">
        <v>100</v>
      </c>
      <c r="G13" s="9" t="s">
        <v>110</v>
      </c>
      <c r="H13" s="23">
        <v>43101</v>
      </c>
      <c r="I13" s="17" t="s">
        <v>106</v>
      </c>
      <c r="J13" s="114">
        <v>1</v>
      </c>
      <c r="K13" s="21">
        <v>1</v>
      </c>
      <c r="L13" s="21">
        <v>1</v>
      </c>
      <c r="M13" s="21">
        <v>1</v>
      </c>
      <c r="N13" s="292">
        <v>0.99650000000000005</v>
      </c>
      <c r="O13" s="249">
        <v>1</v>
      </c>
      <c r="P13" s="277">
        <v>0.98</v>
      </c>
      <c r="Q13" s="277">
        <v>1</v>
      </c>
      <c r="R13" s="249">
        <v>0.99360000000000004</v>
      </c>
      <c r="S13" s="291">
        <v>1</v>
      </c>
      <c r="T13" s="249">
        <v>1</v>
      </c>
      <c r="U13" s="272">
        <v>1</v>
      </c>
      <c r="V13" s="187">
        <v>1</v>
      </c>
      <c r="W13" s="187">
        <v>1</v>
      </c>
      <c r="X13" s="187">
        <v>0.95</v>
      </c>
      <c r="Y13" s="231">
        <f t="shared" si="0"/>
        <v>0.99273636363636364</v>
      </c>
    </row>
    <row r="14" spans="1:25" ht="101.25" customHeight="1">
      <c r="A14" s="319"/>
      <c r="B14" s="318"/>
      <c r="C14" s="21" t="s">
        <v>117</v>
      </c>
      <c r="D14" s="71">
        <v>2.5000000000000001E-2</v>
      </c>
      <c r="E14" s="16" t="s">
        <v>105</v>
      </c>
      <c r="F14" s="16">
        <v>100</v>
      </c>
      <c r="G14" s="9" t="s">
        <v>120</v>
      </c>
      <c r="H14" s="23">
        <v>43101</v>
      </c>
      <c r="I14" s="17" t="s">
        <v>118</v>
      </c>
      <c r="J14" s="114">
        <v>1</v>
      </c>
      <c r="K14" s="21">
        <v>1</v>
      </c>
      <c r="L14" s="21">
        <v>1</v>
      </c>
      <c r="M14" s="21">
        <v>1</v>
      </c>
      <c r="N14" s="294">
        <v>1</v>
      </c>
      <c r="O14" s="35">
        <v>1</v>
      </c>
      <c r="P14" s="35">
        <v>1</v>
      </c>
      <c r="Q14" s="35">
        <v>1</v>
      </c>
      <c r="R14" s="249">
        <v>1</v>
      </c>
      <c r="S14" s="306"/>
      <c r="T14" s="250">
        <v>1</v>
      </c>
      <c r="U14" s="272">
        <v>1</v>
      </c>
      <c r="V14" s="187">
        <v>1</v>
      </c>
      <c r="W14" s="187">
        <v>1</v>
      </c>
      <c r="X14" s="187">
        <v>1</v>
      </c>
      <c r="Y14" s="231">
        <f t="shared" si="0"/>
        <v>1</v>
      </c>
    </row>
    <row r="15" spans="1:25" ht="33" customHeight="1">
      <c r="A15" s="72"/>
      <c r="B15" s="72"/>
      <c r="C15" s="72"/>
      <c r="D15" s="74">
        <f>SUM(D8:D14)</f>
        <v>0.5</v>
      </c>
      <c r="E15" s="72"/>
      <c r="F15" s="75"/>
      <c r="G15" s="72"/>
      <c r="H15" s="72"/>
      <c r="I15" s="72"/>
      <c r="J15" s="76"/>
      <c r="K15" s="72"/>
      <c r="L15" s="72"/>
      <c r="M15" s="72"/>
      <c r="N15" s="254"/>
      <c r="O15" s="254"/>
      <c r="P15" s="254"/>
      <c r="Q15" s="254"/>
      <c r="R15" s="254"/>
      <c r="S15" s="254"/>
      <c r="T15" s="254"/>
      <c r="U15" s="254"/>
      <c r="V15" s="254"/>
      <c r="W15" s="254"/>
      <c r="X15" s="254"/>
      <c r="Y15" s="115"/>
    </row>
    <row r="16" spans="1:25" ht="45" customHeight="1">
      <c r="A16" s="115"/>
      <c r="B16" s="115"/>
      <c r="C16" s="115"/>
      <c r="D16" s="74"/>
      <c r="E16" s="115"/>
      <c r="F16" s="226"/>
      <c r="G16" s="230" t="s">
        <v>977</v>
      </c>
      <c r="H16" s="115"/>
      <c r="I16" s="115"/>
      <c r="J16" s="76"/>
      <c r="K16" s="115"/>
      <c r="L16" s="115"/>
      <c r="M16" s="115"/>
      <c r="N16" s="295">
        <f>+AVERAGE(N8:N14)</f>
        <v>0.99651428571428569</v>
      </c>
      <c r="O16" s="295">
        <f t="shared" ref="O16:X16" si="1">+AVERAGE(O8:O14)</f>
        <v>1</v>
      </c>
      <c r="P16" s="295">
        <f t="shared" si="1"/>
        <v>0.99428571428571444</v>
      </c>
      <c r="Q16" s="295">
        <f t="shared" si="1"/>
        <v>0.8214285714285714</v>
      </c>
      <c r="R16" s="295">
        <f t="shared" si="1"/>
        <v>0.99908571428571424</v>
      </c>
      <c r="S16" s="295">
        <f t="shared" si="1"/>
        <v>0.67666666666666664</v>
      </c>
      <c r="T16" s="295">
        <f t="shared" si="1"/>
        <v>0.98285714285714287</v>
      </c>
      <c r="U16" s="295">
        <f t="shared" si="1"/>
        <v>0.94285714285714284</v>
      </c>
      <c r="V16" s="295">
        <f t="shared" si="1"/>
        <v>1</v>
      </c>
      <c r="W16" s="295">
        <f t="shared" si="1"/>
        <v>1</v>
      </c>
      <c r="X16" s="295">
        <f t="shared" si="1"/>
        <v>0.99285714285714288</v>
      </c>
      <c r="Y16" s="280">
        <f>AVERAGE(Y8:Y14)</f>
        <v>0.95024935064935068</v>
      </c>
    </row>
    <row r="17" spans="1:25" ht="73.5" customHeight="1">
      <c r="A17" s="115"/>
      <c r="B17" s="115"/>
      <c r="C17" s="115"/>
      <c r="D17" s="74"/>
      <c r="E17" s="115"/>
      <c r="F17" s="226"/>
      <c r="G17" s="230" t="s">
        <v>979</v>
      </c>
      <c r="H17" s="115"/>
      <c r="I17" s="115"/>
      <c r="J17" s="76"/>
      <c r="K17" s="115"/>
      <c r="L17" s="227">
        <f>+AVERAGE(L8:L14)</f>
        <v>0.80714285714285716</v>
      </c>
      <c r="M17" s="227">
        <f>AVERAGE(M8:M14)</f>
        <v>1</v>
      </c>
      <c r="N17" s="115"/>
      <c r="O17" s="115"/>
      <c r="P17" s="115"/>
      <c r="Q17" s="115"/>
      <c r="R17" s="115"/>
      <c r="S17" s="115"/>
      <c r="T17" s="115"/>
      <c r="U17" s="115"/>
      <c r="V17" s="228"/>
      <c r="W17" s="228"/>
      <c r="X17" s="228"/>
      <c r="Y17" s="228"/>
    </row>
    <row r="18" spans="1:25" ht="33" customHeight="1">
      <c r="A18" s="115"/>
      <c r="B18" s="115"/>
      <c r="C18" s="115"/>
      <c r="D18" s="74"/>
      <c r="E18" s="115"/>
      <c r="F18" s="226"/>
      <c r="G18" s="115"/>
      <c r="H18" s="115"/>
      <c r="I18" s="115"/>
      <c r="J18" s="76"/>
      <c r="K18" s="115"/>
      <c r="L18" s="115"/>
      <c r="M18" s="115"/>
      <c r="N18" s="115"/>
      <c r="O18" s="115"/>
      <c r="P18" s="115"/>
      <c r="Q18" s="115"/>
      <c r="R18" s="115"/>
      <c r="S18" s="115"/>
      <c r="T18" s="115"/>
      <c r="U18" s="115"/>
      <c r="V18" s="228"/>
      <c r="W18" s="228"/>
      <c r="X18" s="228"/>
      <c r="Y18" s="228"/>
    </row>
    <row r="19" spans="1:25" ht="78" customHeight="1">
      <c r="A19" s="316" t="s">
        <v>196</v>
      </c>
      <c r="B19" s="316"/>
      <c r="C19" s="316"/>
      <c r="D19" s="316"/>
      <c r="E19" s="316"/>
      <c r="F19" s="316"/>
      <c r="G19" s="316"/>
      <c r="H19" s="316"/>
      <c r="I19" s="316"/>
      <c r="J19" s="316"/>
      <c r="K19" s="316"/>
      <c r="L19" s="316"/>
      <c r="M19" s="316"/>
      <c r="N19" s="316"/>
      <c r="O19" s="316"/>
      <c r="P19" s="316"/>
      <c r="Q19" s="316"/>
      <c r="R19" s="316"/>
      <c r="S19" s="316"/>
      <c r="T19" s="316"/>
      <c r="U19" s="316"/>
    </row>
    <row r="20" spans="1:25" ht="4.5" customHeight="1">
      <c r="A20" s="379"/>
      <c r="B20" s="380"/>
      <c r="C20" s="380"/>
      <c r="D20" s="380"/>
      <c r="E20" s="380"/>
      <c r="F20" s="380"/>
      <c r="G20" s="380"/>
      <c r="H20" s="380"/>
      <c r="I20" s="380"/>
      <c r="J20" s="380"/>
      <c r="K20" s="380"/>
      <c r="L20" s="380"/>
      <c r="M20" s="380"/>
      <c r="N20" s="380"/>
      <c r="O20" s="380"/>
      <c r="P20" s="380"/>
      <c r="Q20" s="380"/>
      <c r="R20" s="380"/>
      <c r="S20" s="380"/>
      <c r="T20" s="380"/>
      <c r="U20" s="381"/>
    </row>
    <row r="21" spans="1:25" ht="33.75">
      <c r="A21" s="316" t="s">
        <v>515</v>
      </c>
      <c r="B21" s="316"/>
      <c r="C21" s="316"/>
      <c r="D21" s="316"/>
      <c r="E21" s="316"/>
      <c r="F21" s="316"/>
      <c r="G21" s="316"/>
      <c r="H21" s="316"/>
      <c r="I21" s="316"/>
      <c r="J21" s="316"/>
      <c r="K21" s="316"/>
      <c r="L21" s="316"/>
      <c r="M21" s="316"/>
      <c r="N21" s="316"/>
      <c r="O21" s="316"/>
      <c r="P21" s="316"/>
      <c r="Q21" s="316"/>
      <c r="R21" s="316"/>
      <c r="S21" s="316"/>
      <c r="T21" s="316"/>
      <c r="U21" s="316"/>
    </row>
    <row r="22" spans="1:25" ht="44.25" customHeight="1">
      <c r="A22" s="339" t="s">
        <v>103</v>
      </c>
      <c r="B22" s="339" t="s">
        <v>74</v>
      </c>
      <c r="C22" s="339" t="s">
        <v>65</v>
      </c>
      <c r="D22" s="339" t="s">
        <v>66</v>
      </c>
      <c r="E22" s="339" t="s">
        <v>67</v>
      </c>
      <c r="F22" s="340" t="s">
        <v>68</v>
      </c>
      <c r="G22" s="339" t="s">
        <v>69</v>
      </c>
      <c r="H22" s="341" t="s">
        <v>70</v>
      </c>
      <c r="I22" s="341"/>
      <c r="J22" s="339" t="s">
        <v>79</v>
      </c>
      <c r="K22" s="339"/>
      <c r="L22" s="339"/>
      <c r="M22" s="339"/>
      <c r="N22" s="331" t="s">
        <v>511</v>
      </c>
      <c r="O22" s="331"/>
      <c r="P22" s="331"/>
      <c r="Q22" s="331"/>
      <c r="R22" s="331"/>
      <c r="S22" s="331"/>
      <c r="T22" s="331"/>
      <c r="U22" s="331"/>
    </row>
    <row r="23" spans="1:25" ht="15.75">
      <c r="A23" s="339"/>
      <c r="B23" s="339"/>
      <c r="C23" s="339"/>
      <c r="D23" s="339"/>
      <c r="E23" s="339"/>
      <c r="F23" s="340"/>
      <c r="G23" s="339"/>
      <c r="H23" s="332" t="s">
        <v>71</v>
      </c>
      <c r="I23" s="332" t="s">
        <v>197</v>
      </c>
      <c r="J23" s="15" t="s">
        <v>75</v>
      </c>
      <c r="K23" s="15" t="s">
        <v>76</v>
      </c>
      <c r="L23" s="15" t="s">
        <v>77</v>
      </c>
      <c r="M23" s="15" t="s">
        <v>78</v>
      </c>
      <c r="N23" s="333" t="s">
        <v>75</v>
      </c>
      <c r="O23" s="333"/>
      <c r="P23" s="333" t="s">
        <v>76</v>
      </c>
      <c r="Q23" s="333"/>
      <c r="R23" s="333" t="s">
        <v>77</v>
      </c>
      <c r="S23" s="333"/>
      <c r="T23" s="333" t="s">
        <v>78</v>
      </c>
      <c r="U23" s="333"/>
    </row>
    <row r="24" spans="1:25" ht="36.75" customHeight="1">
      <c r="A24" s="339"/>
      <c r="B24" s="339"/>
      <c r="C24" s="339"/>
      <c r="D24" s="339"/>
      <c r="E24" s="339"/>
      <c r="F24" s="340"/>
      <c r="G24" s="339"/>
      <c r="H24" s="332"/>
      <c r="I24" s="332"/>
      <c r="J24" s="101" t="s">
        <v>64</v>
      </c>
      <c r="K24" s="55" t="s">
        <v>64</v>
      </c>
      <c r="L24" s="55" t="s">
        <v>64</v>
      </c>
      <c r="M24" s="55" t="s">
        <v>64</v>
      </c>
      <c r="N24" s="185" t="s">
        <v>514</v>
      </c>
      <c r="O24" s="185" t="s">
        <v>513</v>
      </c>
      <c r="P24" s="185" t="s">
        <v>514</v>
      </c>
      <c r="Q24" s="185" t="s">
        <v>513</v>
      </c>
      <c r="R24" s="185" t="s">
        <v>514</v>
      </c>
      <c r="S24" s="185" t="s">
        <v>513</v>
      </c>
      <c r="T24" s="185" t="s">
        <v>514</v>
      </c>
      <c r="U24" s="185" t="s">
        <v>513</v>
      </c>
    </row>
    <row r="25" spans="1:25" ht="33.75">
      <c r="A25" s="316" t="s">
        <v>198</v>
      </c>
      <c r="B25" s="316"/>
      <c r="C25" s="316"/>
      <c r="D25" s="316"/>
      <c r="E25" s="316"/>
      <c r="F25" s="316"/>
      <c r="G25" s="316"/>
      <c r="H25" s="316"/>
      <c r="I25" s="316"/>
      <c r="J25" s="316"/>
      <c r="K25" s="316"/>
      <c r="L25" s="316"/>
      <c r="M25" s="316"/>
      <c r="N25" s="316"/>
      <c r="O25" s="316"/>
      <c r="P25" s="316"/>
      <c r="Q25" s="316"/>
      <c r="R25" s="316"/>
      <c r="S25" s="316"/>
      <c r="T25" s="316"/>
      <c r="U25" s="316"/>
    </row>
    <row r="26" spans="1:25" ht="165.75">
      <c r="A26" s="319" t="s">
        <v>199</v>
      </c>
      <c r="B26" s="365" t="s">
        <v>200</v>
      </c>
      <c r="C26" s="9" t="s">
        <v>201</v>
      </c>
      <c r="D26" s="124">
        <v>9.2499999999999995E-3</v>
      </c>
      <c r="E26" s="110" t="s">
        <v>112</v>
      </c>
      <c r="F26" s="125">
        <v>50</v>
      </c>
      <c r="G26" s="9" t="s">
        <v>202</v>
      </c>
      <c r="H26" s="108">
        <v>43101</v>
      </c>
      <c r="I26" s="110" t="s">
        <v>106</v>
      </c>
      <c r="J26" s="54">
        <v>0</v>
      </c>
      <c r="K26" s="54">
        <v>0</v>
      </c>
      <c r="L26" s="54">
        <v>0</v>
      </c>
      <c r="M26" s="125">
        <v>50</v>
      </c>
      <c r="N26" s="43">
        <v>0</v>
      </c>
      <c r="O26" s="126" t="s">
        <v>559</v>
      </c>
      <c r="P26" s="170">
        <v>1.22</v>
      </c>
      <c r="Q26" s="170" t="s">
        <v>785</v>
      </c>
      <c r="R26" s="43">
        <f>61/F26</f>
        <v>1.22</v>
      </c>
      <c r="S26" s="126" t="s">
        <v>832</v>
      </c>
      <c r="T26" s="115"/>
      <c r="U26" s="115"/>
    </row>
    <row r="27" spans="1:25" ht="140.25">
      <c r="A27" s="319"/>
      <c r="B27" s="365"/>
      <c r="C27" s="9" t="s">
        <v>203</v>
      </c>
      <c r="D27" s="124">
        <v>9.2499999999999995E-3</v>
      </c>
      <c r="E27" s="110" t="s">
        <v>112</v>
      </c>
      <c r="F27" s="125">
        <v>520</v>
      </c>
      <c r="G27" s="9" t="s">
        <v>202</v>
      </c>
      <c r="H27" s="108">
        <v>43101</v>
      </c>
      <c r="I27" s="110" t="s">
        <v>106</v>
      </c>
      <c r="J27" s="54">
        <v>0</v>
      </c>
      <c r="K27" s="54">
        <v>0</v>
      </c>
      <c r="L27" s="54">
        <v>0</v>
      </c>
      <c r="M27" s="125">
        <v>520</v>
      </c>
      <c r="N27" s="43">
        <v>0.46730769230769231</v>
      </c>
      <c r="O27" s="126" t="s">
        <v>560</v>
      </c>
      <c r="P27" s="170">
        <v>1.0033333333333334</v>
      </c>
      <c r="Q27" s="170" t="s">
        <v>786</v>
      </c>
      <c r="R27" s="43">
        <f>301/300</f>
        <v>1.0033333333333334</v>
      </c>
      <c r="S27" s="126" t="s">
        <v>833</v>
      </c>
      <c r="T27" s="115"/>
      <c r="U27" s="115"/>
    </row>
    <row r="28" spans="1:25" ht="89.25">
      <c r="A28" s="319"/>
      <c r="B28" s="365"/>
      <c r="C28" s="9" t="s">
        <v>204</v>
      </c>
      <c r="D28" s="124">
        <v>9.2499999999999995E-3</v>
      </c>
      <c r="E28" s="110" t="s">
        <v>112</v>
      </c>
      <c r="F28" s="125">
        <v>1931</v>
      </c>
      <c r="G28" s="9" t="s">
        <v>205</v>
      </c>
      <c r="H28" s="108">
        <v>43101</v>
      </c>
      <c r="I28" s="110" t="s">
        <v>106</v>
      </c>
      <c r="J28" s="54">
        <v>0</v>
      </c>
      <c r="K28" s="54">
        <v>0</v>
      </c>
      <c r="L28" s="54">
        <v>0</v>
      </c>
      <c r="M28" s="125">
        <v>1931</v>
      </c>
      <c r="N28" s="43">
        <v>0.10305541170378042</v>
      </c>
      <c r="O28" s="126" t="s">
        <v>561</v>
      </c>
      <c r="P28" s="170">
        <v>0.19264629725530813</v>
      </c>
      <c r="Q28" s="170" t="s">
        <v>787</v>
      </c>
      <c r="R28" s="188">
        <f>996/1931</f>
        <v>0.5157949249093734</v>
      </c>
      <c r="S28" s="126" t="s">
        <v>834</v>
      </c>
      <c r="T28" s="115"/>
      <c r="U28" s="115"/>
    </row>
    <row r="29" spans="1:25" ht="89.25">
      <c r="A29" s="319"/>
      <c r="B29" s="365"/>
      <c r="C29" s="9" t="s">
        <v>206</v>
      </c>
      <c r="D29" s="124">
        <v>9.2499999999999995E-3</v>
      </c>
      <c r="E29" s="110" t="s">
        <v>112</v>
      </c>
      <c r="F29" s="125">
        <v>3039</v>
      </c>
      <c r="G29" s="9" t="s">
        <v>205</v>
      </c>
      <c r="H29" s="108">
        <v>43101</v>
      </c>
      <c r="I29" s="110" t="s">
        <v>106</v>
      </c>
      <c r="J29" s="54">
        <v>0</v>
      </c>
      <c r="K29" s="54">
        <v>0</v>
      </c>
      <c r="L29" s="54">
        <v>0</v>
      </c>
      <c r="M29" s="125">
        <v>3039</v>
      </c>
      <c r="N29" s="43">
        <v>8.5225403093122737E-2</v>
      </c>
      <c r="O29" s="126" t="s">
        <v>562</v>
      </c>
      <c r="P29" s="170">
        <v>0.11780190852254031</v>
      </c>
      <c r="Q29" s="170" t="s">
        <v>788</v>
      </c>
      <c r="R29" s="188">
        <f>706/3039</f>
        <v>0.23231326094109905</v>
      </c>
      <c r="S29" s="178" t="s">
        <v>835</v>
      </c>
      <c r="T29" s="115"/>
      <c r="U29" s="115"/>
    </row>
    <row r="30" spans="1:25" ht="153">
      <c r="A30" s="319"/>
      <c r="B30" s="365"/>
      <c r="C30" s="9" t="s">
        <v>207</v>
      </c>
      <c r="D30" s="124">
        <v>9.2499999999999995E-3</v>
      </c>
      <c r="E30" s="110" t="s">
        <v>112</v>
      </c>
      <c r="F30" s="125">
        <v>4100</v>
      </c>
      <c r="G30" s="9" t="s">
        <v>202</v>
      </c>
      <c r="H30" s="108">
        <v>43101</v>
      </c>
      <c r="I30" s="110" t="s">
        <v>106</v>
      </c>
      <c r="J30" s="54">
        <v>0</v>
      </c>
      <c r="K30" s="54">
        <v>0</v>
      </c>
      <c r="L30" s="54">
        <v>0</v>
      </c>
      <c r="M30" s="125">
        <v>4100</v>
      </c>
      <c r="N30" s="43">
        <v>5.5853658536585367E-2</v>
      </c>
      <c r="O30" s="126" t="s">
        <v>563</v>
      </c>
      <c r="P30" s="170">
        <v>0.98609756097560974</v>
      </c>
      <c r="Q30" s="170" t="s">
        <v>789</v>
      </c>
      <c r="R30" s="189">
        <f>4043/4100</f>
        <v>0.98609756097560974</v>
      </c>
      <c r="S30" s="178" t="s">
        <v>836</v>
      </c>
      <c r="T30" s="115"/>
      <c r="U30" s="115"/>
    </row>
    <row r="31" spans="1:25" ht="204">
      <c r="A31" s="319"/>
      <c r="B31" s="365"/>
      <c r="C31" s="9" t="s">
        <v>208</v>
      </c>
      <c r="D31" s="124">
        <v>9.2499999999999995E-3</v>
      </c>
      <c r="E31" s="110" t="s">
        <v>112</v>
      </c>
      <c r="F31" s="125">
        <v>639766300</v>
      </c>
      <c r="G31" s="9" t="s">
        <v>209</v>
      </c>
      <c r="H31" s="108">
        <v>43101</v>
      </c>
      <c r="I31" s="110" t="s">
        <v>106</v>
      </c>
      <c r="J31" s="54">
        <v>0</v>
      </c>
      <c r="K31" s="54">
        <v>0</v>
      </c>
      <c r="L31" s="54">
        <v>0</v>
      </c>
      <c r="M31" s="125">
        <v>639766300</v>
      </c>
      <c r="N31" s="43">
        <v>0</v>
      </c>
      <c r="O31" s="126" t="s">
        <v>564</v>
      </c>
      <c r="P31" s="170">
        <v>1.0014287779772082</v>
      </c>
      <c r="Q31" s="170" t="s">
        <v>790</v>
      </c>
      <c r="R31" s="190">
        <f>640680384/639766300</f>
        <v>1.0014287779772082</v>
      </c>
      <c r="S31" s="126" t="s">
        <v>837</v>
      </c>
      <c r="T31" s="115"/>
      <c r="U31" s="115"/>
    </row>
    <row r="32" spans="1:25" ht="409.5">
      <c r="A32" s="319"/>
      <c r="B32" s="365"/>
      <c r="C32" s="9" t="s">
        <v>210</v>
      </c>
      <c r="D32" s="124">
        <v>9.2499999999999995E-3</v>
      </c>
      <c r="E32" s="110" t="s">
        <v>105</v>
      </c>
      <c r="F32" s="125">
        <v>45</v>
      </c>
      <c r="G32" s="9" t="s">
        <v>211</v>
      </c>
      <c r="H32" s="108">
        <v>43101</v>
      </c>
      <c r="I32" s="110" t="s">
        <v>106</v>
      </c>
      <c r="J32" s="54">
        <v>0</v>
      </c>
      <c r="K32" s="54">
        <v>0</v>
      </c>
      <c r="L32" s="54">
        <v>0</v>
      </c>
      <c r="M32" s="127">
        <v>45</v>
      </c>
      <c r="N32" s="43">
        <v>0.4</v>
      </c>
      <c r="O32" s="126" t="s">
        <v>565</v>
      </c>
      <c r="P32" s="170">
        <v>0.95555555555555549</v>
      </c>
      <c r="Q32" s="170" t="s">
        <v>791</v>
      </c>
      <c r="R32" s="189">
        <f>60/45</f>
        <v>1.3333333333333333</v>
      </c>
      <c r="S32" s="179" t="s">
        <v>838</v>
      </c>
      <c r="T32" s="115"/>
      <c r="U32" s="115"/>
    </row>
    <row r="33" spans="1:21" ht="165.75">
      <c r="A33" s="319"/>
      <c r="B33" s="365"/>
      <c r="C33" s="9" t="s">
        <v>212</v>
      </c>
      <c r="D33" s="124">
        <v>9.2499999999999995E-3</v>
      </c>
      <c r="E33" s="110" t="s">
        <v>112</v>
      </c>
      <c r="F33" s="125">
        <v>1000</v>
      </c>
      <c r="G33" s="9" t="s">
        <v>202</v>
      </c>
      <c r="H33" s="108">
        <v>43101</v>
      </c>
      <c r="I33" s="110" t="s">
        <v>106</v>
      </c>
      <c r="J33" s="54">
        <v>0</v>
      </c>
      <c r="K33" s="54">
        <v>0</v>
      </c>
      <c r="L33" s="54">
        <v>0</v>
      </c>
      <c r="M33" s="125">
        <v>1000</v>
      </c>
      <c r="N33" s="43">
        <v>7.4999999999999997E-2</v>
      </c>
      <c r="O33" s="126" t="s">
        <v>566</v>
      </c>
      <c r="P33" s="170">
        <v>0</v>
      </c>
      <c r="Q33" s="170" t="s">
        <v>792</v>
      </c>
      <c r="R33" s="43">
        <v>0</v>
      </c>
      <c r="S33" s="146" t="s">
        <v>839</v>
      </c>
      <c r="T33" s="115"/>
      <c r="U33" s="115"/>
    </row>
    <row r="34" spans="1:21" ht="395.25">
      <c r="A34" s="319"/>
      <c r="B34" s="365"/>
      <c r="C34" s="9" t="s">
        <v>213</v>
      </c>
      <c r="D34" s="124">
        <v>9.2499999999999995E-3</v>
      </c>
      <c r="E34" s="110" t="s">
        <v>105</v>
      </c>
      <c r="F34" s="124">
        <v>0.7</v>
      </c>
      <c r="G34" s="9" t="s">
        <v>211</v>
      </c>
      <c r="H34" s="108">
        <v>43101</v>
      </c>
      <c r="I34" s="110" t="s">
        <v>106</v>
      </c>
      <c r="J34" s="54">
        <v>0</v>
      </c>
      <c r="K34" s="54">
        <v>0</v>
      </c>
      <c r="L34" s="54">
        <v>0</v>
      </c>
      <c r="M34" s="128">
        <v>0.7</v>
      </c>
      <c r="N34" s="43">
        <v>0</v>
      </c>
      <c r="O34" s="126" t="s">
        <v>567</v>
      </c>
      <c r="P34" s="170">
        <v>0.7142857142857143</v>
      </c>
      <c r="Q34" s="170" t="s">
        <v>793</v>
      </c>
      <c r="R34" s="43">
        <f>70/70</f>
        <v>1</v>
      </c>
      <c r="S34" s="179" t="s">
        <v>840</v>
      </c>
      <c r="T34" s="115"/>
      <c r="U34" s="115"/>
    </row>
    <row r="35" spans="1:21" ht="178.5">
      <c r="A35" s="319"/>
      <c r="B35" s="365"/>
      <c r="C35" s="9" t="s">
        <v>214</v>
      </c>
      <c r="D35" s="124">
        <v>9.2499999999999995E-3</v>
      </c>
      <c r="E35" s="110" t="s">
        <v>112</v>
      </c>
      <c r="F35" s="125">
        <v>370</v>
      </c>
      <c r="G35" s="9" t="s">
        <v>18</v>
      </c>
      <c r="H35" s="108">
        <v>43101</v>
      </c>
      <c r="I35" s="110" t="s">
        <v>106</v>
      </c>
      <c r="J35" s="54">
        <v>0</v>
      </c>
      <c r="K35" s="54">
        <v>0</v>
      </c>
      <c r="L35" s="54">
        <v>0</v>
      </c>
      <c r="M35" s="125">
        <v>370</v>
      </c>
      <c r="N35" s="43">
        <v>1</v>
      </c>
      <c r="O35" s="126" t="s">
        <v>568</v>
      </c>
      <c r="P35" s="170">
        <v>1</v>
      </c>
      <c r="Q35" s="170" t="s">
        <v>794</v>
      </c>
      <c r="R35" s="43">
        <f>370/370</f>
        <v>1</v>
      </c>
      <c r="S35" s="126" t="s">
        <v>841</v>
      </c>
      <c r="T35" s="115"/>
      <c r="U35" s="115"/>
    </row>
    <row r="36" spans="1:21" ht="114.75">
      <c r="A36" s="319"/>
      <c r="B36" s="365"/>
      <c r="C36" s="9" t="s">
        <v>215</v>
      </c>
      <c r="D36" s="124">
        <v>9.2499999999999995E-3</v>
      </c>
      <c r="E36" s="110" t="s">
        <v>112</v>
      </c>
      <c r="F36" s="125">
        <v>1700000</v>
      </c>
      <c r="G36" s="9" t="s">
        <v>202</v>
      </c>
      <c r="H36" s="108">
        <v>43101</v>
      </c>
      <c r="I36" s="110" t="s">
        <v>106</v>
      </c>
      <c r="J36" s="54">
        <v>0</v>
      </c>
      <c r="K36" s="54">
        <v>0</v>
      </c>
      <c r="L36" s="54">
        <v>0</v>
      </c>
      <c r="M36" s="125">
        <v>1700000</v>
      </c>
      <c r="N36" s="43">
        <v>0</v>
      </c>
      <c r="O36" s="126" t="s">
        <v>569</v>
      </c>
      <c r="P36" s="170">
        <v>1.2481517647058824</v>
      </c>
      <c r="Q36" s="170" t="s">
        <v>795</v>
      </c>
      <c r="R36" s="43">
        <f>2121858/1700000</f>
        <v>1.2481517647058824</v>
      </c>
      <c r="S36" s="179" t="s">
        <v>842</v>
      </c>
      <c r="T36" s="115"/>
      <c r="U36" s="115"/>
    </row>
    <row r="37" spans="1:21" ht="127.5">
      <c r="A37" s="319"/>
      <c r="B37" s="365"/>
      <c r="C37" s="9" t="s">
        <v>216</v>
      </c>
      <c r="D37" s="124">
        <v>9.2499999999999995E-3</v>
      </c>
      <c r="E37" s="110" t="s">
        <v>112</v>
      </c>
      <c r="F37" s="125">
        <v>450000</v>
      </c>
      <c r="G37" s="9" t="s">
        <v>202</v>
      </c>
      <c r="H37" s="108">
        <v>43101</v>
      </c>
      <c r="I37" s="110" t="s">
        <v>106</v>
      </c>
      <c r="J37" s="54">
        <v>0</v>
      </c>
      <c r="K37" s="54">
        <v>0</v>
      </c>
      <c r="L37" s="54">
        <v>0</v>
      </c>
      <c r="M37" s="125">
        <v>450000</v>
      </c>
      <c r="N37" s="43">
        <v>5.944444444444444E-3</v>
      </c>
      <c r="O37" s="126" t="s">
        <v>570</v>
      </c>
      <c r="P37" s="170">
        <v>0.1807</v>
      </c>
      <c r="Q37" s="170" t="s">
        <v>796</v>
      </c>
      <c r="R37" s="43">
        <f>9035/50000</f>
        <v>0.1807</v>
      </c>
      <c r="S37" s="179" t="s">
        <v>843</v>
      </c>
      <c r="T37" s="115"/>
      <c r="U37" s="115"/>
    </row>
    <row r="38" spans="1:21" ht="78.75">
      <c r="A38" s="319"/>
      <c r="B38" s="365"/>
      <c r="C38" s="9" t="s">
        <v>217</v>
      </c>
      <c r="D38" s="124">
        <v>9.2499999999999995E-3</v>
      </c>
      <c r="E38" s="110" t="s">
        <v>112</v>
      </c>
      <c r="F38" s="125">
        <v>1200000</v>
      </c>
      <c r="G38" s="9" t="s">
        <v>18</v>
      </c>
      <c r="H38" s="108">
        <v>43101</v>
      </c>
      <c r="I38" s="110" t="s">
        <v>106</v>
      </c>
      <c r="J38" s="54">
        <v>0</v>
      </c>
      <c r="K38" s="54">
        <v>0</v>
      </c>
      <c r="L38" s="54">
        <v>0</v>
      </c>
      <c r="M38" s="125">
        <v>1200000</v>
      </c>
      <c r="N38" s="43">
        <v>0</v>
      </c>
      <c r="O38" s="126"/>
      <c r="P38" s="170">
        <v>0</v>
      </c>
      <c r="Q38" s="170" t="s">
        <v>797</v>
      </c>
      <c r="R38" s="43">
        <v>0</v>
      </c>
      <c r="S38" s="179" t="s">
        <v>797</v>
      </c>
      <c r="T38" s="115"/>
      <c r="U38" s="115"/>
    </row>
    <row r="39" spans="1:21" ht="165.75">
      <c r="A39" s="319"/>
      <c r="B39" s="365"/>
      <c r="C39" s="9" t="s">
        <v>218</v>
      </c>
      <c r="D39" s="124">
        <v>9.2499999999999995E-3</v>
      </c>
      <c r="E39" s="110" t="s">
        <v>112</v>
      </c>
      <c r="F39" s="125">
        <v>1</v>
      </c>
      <c r="G39" s="9" t="s">
        <v>18</v>
      </c>
      <c r="H39" s="108">
        <v>43101</v>
      </c>
      <c r="I39" s="110" t="s">
        <v>106</v>
      </c>
      <c r="J39" s="54">
        <v>0</v>
      </c>
      <c r="K39" s="54">
        <v>0</v>
      </c>
      <c r="L39" s="54">
        <v>0</v>
      </c>
      <c r="M39" s="125">
        <v>1</v>
      </c>
      <c r="N39" s="43">
        <v>0</v>
      </c>
      <c r="O39" s="126" t="s">
        <v>571</v>
      </c>
      <c r="P39" s="170">
        <v>0</v>
      </c>
      <c r="Q39" s="170" t="s">
        <v>798</v>
      </c>
      <c r="R39" s="43">
        <v>0</v>
      </c>
      <c r="S39" s="191" t="s">
        <v>844</v>
      </c>
      <c r="T39" s="115"/>
      <c r="U39" s="115"/>
    </row>
    <row r="40" spans="1:21" ht="178.5">
      <c r="A40" s="319"/>
      <c r="B40" s="365"/>
      <c r="C40" s="9" t="s">
        <v>219</v>
      </c>
      <c r="D40" s="124">
        <v>9.2499999999999995E-3</v>
      </c>
      <c r="E40" s="110" t="s">
        <v>112</v>
      </c>
      <c r="F40" s="125">
        <v>85000</v>
      </c>
      <c r="G40" s="9" t="s">
        <v>202</v>
      </c>
      <c r="H40" s="108">
        <v>43101</v>
      </c>
      <c r="I40" s="110" t="s">
        <v>106</v>
      </c>
      <c r="J40" s="54">
        <v>0</v>
      </c>
      <c r="K40" s="54">
        <v>0</v>
      </c>
      <c r="L40" s="54">
        <v>0</v>
      </c>
      <c r="M40" s="125">
        <v>85000</v>
      </c>
      <c r="N40" s="43">
        <v>0.63027058823529414</v>
      </c>
      <c r="O40" s="126" t="s">
        <v>572</v>
      </c>
      <c r="P40" s="170">
        <v>0.9798</v>
      </c>
      <c r="Q40" s="170" t="s">
        <v>799</v>
      </c>
      <c r="R40" s="43">
        <f>87873/85000</f>
        <v>1.0338000000000001</v>
      </c>
      <c r="S40" s="191" t="s">
        <v>845</v>
      </c>
      <c r="T40" s="115"/>
      <c r="U40" s="115"/>
    </row>
    <row r="41" spans="1:21" ht="89.25">
      <c r="A41" s="319"/>
      <c r="B41" s="365"/>
      <c r="C41" s="9" t="s">
        <v>220</v>
      </c>
      <c r="D41" s="124">
        <v>9.2499999999999995E-3</v>
      </c>
      <c r="E41" s="110" t="s">
        <v>112</v>
      </c>
      <c r="F41" s="125">
        <v>6580</v>
      </c>
      <c r="G41" s="9" t="s">
        <v>202</v>
      </c>
      <c r="H41" s="108">
        <v>43101</v>
      </c>
      <c r="I41" s="110" t="s">
        <v>106</v>
      </c>
      <c r="J41" s="54">
        <v>0</v>
      </c>
      <c r="K41" s="54">
        <v>0</v>
      </c>
      <c r="L41" s="54">
        <v>0</v>
      </c>
      <c r="M41" s="125">
        <v>6580</v>
      </c>
      <c r="N41" s="43">
        <v>0</v>
      </c>
      <c r="O41" s="126" t="s">
        <v>573</v>
      </c>
      <c r="P41" s="170">
        <v>0.60933333333333328</v>
      </c>
      <c r="Q41" s="170" t="s">
        <v>800</v>
      </c>
      <c r="R41" s="43">
        <f>2645/3000</f>
        <v>0.88166666666666671</v>
      </c>
      <c r="S41" s="172" t="s">
        <v>846</v>
      </c>
      <c r="T41" s="115"/>
      <c r="U41" s="115"/>
    </row>
    <row r="42" spans="1:21" ht="204">
      <c r="A42" s="319"/>
      <c r="B42" s="365"/>
      <c r="C42" s="9" t="s">
        <v>221</v>
      </c>
      <c r="D42" s="124">
        <v>9.2499999999999995E-3</v>
      </c>
      <c r="E42" s="110" t="s">
        <v>112</v>
      </c>
      <c r="F42" s="125">
        <v>16000</v>
      </c>
      <c r="G42" s="9" t="s">
        <v>222</v>
      </c>
      <c r="H42" s="108">
        <v>43101</v>
      </c>
      <c r="I42" s="110" t="s">
        <v>106</v>
      </c>
      <c r="J42" s="54">
        <v>0</v>
      </c>
      <c r="K42" s="54">
        <v>0</v>
      </c>
      <c r="L42" s="54">
        <v>0</v>
      </c>
      <c r="M42" s="125">
        <v>16000</v>
      </c>
      <c r="N42" s="43">
        <v>0</v>
      </c>
      <c r="O42" s="126" t="s">
        <v>574</v>
      </c>
      <c r="P42" s="170">
        <v>1.0180624999999999</v>
      </c>
      <c r="Q42" s="170" t="s">
        <v>801</v>
      </c>
      <c r="R42" s="43">
        <f>16289/16000</f>
        <v>1.0180625000000001</v>
      </c>
      <c r="S42" s="172" t="s">
        <v>847</v>
      </c>
      <c r="T42" s="115"/>
      <c r="U42" s="115"/>
    </row>
    <row r="43" spans="1:21" ht="127.5">
      <c r="A43" s="319"/>
      <c r="B43" s="365"/>
      <c r="C43" s="9" t="s">
        <v>223</v>
      </c>
      <c r="D43" s="124">
        <v>9.2499999999999995E-3</v>
      </c>
      <c r="E43" s="110" t="s">
        <v>112</v>
      </c>
      <c r="F43" s="125">
        <v>95</v>
      </c>
      <c r="G43" s="9" t="s">
        <v>209</v>
      </c>
      <c r="H43" s="108">
        <v>43101</v>
      </c>
      <c r="I43" s="110" t="s">
        <v>106</v>
      </c>
      <c r="J43" s="54">
        <v>0</v>
      </c>
      <c r="K43" s="54">
        <v>0</v>
      </c>
      <c r="L43" s="54">
        <v>0</v>
      </c>
      <c r="M43" s="125">
        <v>95</v>
      </c>
      <c r="N43" s="43">
        <v>0.5428421052631579</v>
      </c>
      <c r="O43" s="126" t="s">
        <v>575</v>
      </c>
      <c r="P43" s="170">
        <v>1</v>
      </c>
      <c r="Q43" s="170" t="s">
        <v>802</v>
      </c>
      <c r="R43" s="43">
        <f>95/95</f>
        <v>1</v>
      </c>
      <c r="S43" s="172" t="s">
        <v>848</v>
      </c>
      <c r="T43" s="115"/>
      <c r="U43" s="115"/>
    </row>
    <row r="44" spans="1:21" ht="173.25">
      <c r="A44" s="319"/>
      <c r="B44" s="365"/>
      <c r="C44" s="9" t="s">
        <v>224</v>
      </c>
      <c r="D44" s="124">
        <v>9.2499999999999995E-3</v>
      </c>
      <c r="E44" s="110" t="s">
        <v>112</v>
      </c>
      <c r="F44" s="125">
        <v>1300</v>
      </c>
      <c r="G44" s="9" t="s">
        <v>222</v>
      </c>
      <c r="H44" s="108">
        <v>43101</v>
      </c>
      <c r="I44" s="110" t="s">
        <v>106</v>
      </c>
      <c r="J44" s="54">
        <v>0</v>
      </c>
      <c r="K44" s="54">
        <v>0</v>
      </c>
      <c r="L44" s="54">
        <v>0</v>
      </c>
      <c r="M44" s="125">
        <v>1300</v>
      </c>
      <c r="N44" s="43">
        <v>0</v>
      </c>
      <c r="O44" s="126"/>
      <c r="P44" s="170">
        <v>1</v>
      </c>
      <c r="Q44" s="170" t="s">
        <v>803</v>
      </c>
      <c r="R44" s="43">
        <v>1</v>
      </c>
      <c r="S44" s="178" t="s">
        <v>803</v>
      </c>
      <c r="T44" s="115"/>
      <c r="U44" s="115"/>
    </row>
    <row r="45" spans="1:21" ht="191.25">
      <c r="A45" s="319"/>
      <c r="B45" s="365"/>
      <c r="C45" s="9" t="s">
        <v>225</v>
      </c>
      <c r="D45" s="124">
        <v>9.2499999999999995E-3</v>
      </c>
      <c r="E45" s="110" t="s">
        <v>112</v>
      </c>
      <c r="F45" s="125">
        <v>12</v>
      </c>
      <c r="G45" s="9" t="s">
        <v>226</v>
      </c>
      <c r="H45" s="108">
        <v>43101</v>
      </c>
      <c r="I45" s="110" t="s">
        <v>106</v>
      </c>
      <c r="J45" s="54">
        <v>0</v>
      </c>
      <c r="K45" s="54">
        <v>0</v>
      </c>
      <c r="L45" s="54">
        <v>0</v>
      </c>
      <c r="M45" s="125">
        <v>12</v>
      </c>
      <c r="N45" s="43">
        <v>0</v>
      </c>
      <c r="O45" s="126" t="s">
        <v>576</v>
      </c>
      <c r="P45" s="170">
        <v>0</v>
      </c>
      <c r="Q45" s="170" t="s">
        <v>804</v>
      </c>
      <c r="R45" s="43">
        <v>0</v>
      </c>
      <c r="S45" s="179" t="s">
        <v>849</v>
      </c>
      <c r="T45" s="115"/>
      <c r="U45" s="115"/>
    </row>
    <row r="46" spans="1:21" ht="127.5">
      <c r="A46" s="319"/>
      <c r="B46" s="365"/>
      <c r="C46" s="9" t="s">
        <v>227</v>
      </c>
      <c r="D46" s="124">
        <v>9.2499999999999995E-3</v>
      </c>
      <c r="E46" s="110" t="s">
        <v>112</v>
      </c>
      <c r="F46" s="125">
        <v>20000</v>
      </c>
      <c r="G46" s="9" t="s">
        <v>228</v>
      </c>
      <c r="H46" s="108">
        <v>43101</v>
      </c>
      <c r="I46" s="110" t="s">
        <v>106</v>
      </c>
      <c r="J46" s="54">
        <v>0</v>
      </c>
      <c r="K46" s="54">
        <v>0</v>
      </c>
      <c r="L46" s="54">
        <v>0</v>
      </c>
      <c r="M46" s="125">
        <v>20000</v>
      </c>
      <c r="N46" s="43">
        <v>0</v>
      </c>
      <c r="O46" s="126" t="s">
        <v>577</v>
      </c>
      <c r="P46" s="170">
        <v>0</v>
      </c>
      <c r="Q46" s="170" t="s">
        <v>805</v>
      </c>
      <c r="R46" s="43">
        <v>0</v>
      </c>
      <c r="S46" s="172" t="s">
        <v>850</v>
      </c>
      <c r="T46" s="115"/>
      <c r="U46" s="115"/>
    </row>
    <row r="47" spans="1:21" ht="153">
      <c r="A47" s="319"/>
      <c r="B47" s="365"/>
      <c r="C47" s="9" t="s">
        <v>229</v>
      </c>
      <c r="D47" s="124">
        <v>9.2499999999999995E-3</v>
      </c>
      <c r="E47" s="110" t="s">
        <v>112</v>
      </c>
      <c r="F47" s="125">
        <v>20000</v>
      </c>
      <c r="G47" s="9" t="s">
        <v>228</v>
      </c>
      <c r="H47" s="108">
        <v>43101</v>
      </c>
      <c r="I47" s="110" t="s">
        <v>106</v>
      </c>
      <c r="J47" s="54">
        <v>0</v>
      </c>
      <c r="K47" s="54">
        <v>0</v>
      </c>
      <c r="L47" s="54">
        <v>0</v>
      </c>
      <c r="M47" s="125">
        <v>20000</v>
      </c>
      <c r="N47" s="43">
        <v>0</v>
      </c>
      <c r="O47" s="126" t="s">
        <v>578</v>
      </c>
      <c r="P47" s="170">
        <v>0.16789999999999999</v>
      </c>
      <c r="Q47" s="170" t="s">
        <v>806</v>
      </c>
      <c r="R47" s="43">
        <f>3358/20000</f>
        <v>0.16789999999999999</v>
      </c>
      <c r="S47" s="172" t="s">
        <v>851</v>
      </c>
      <c r="T47" s="115"/>
      <c r="U47" s="115"/>
    </row>
    <row r="48" spans="1:21" ht="409.5">
      <c r="A48" s="319"/>
      <c r="B48" s="365"/>
      <c r="C48" s="9" t="s">
        <v>230</v>
      </c>
      <c r="D48" s="124">
        <v>9.2499999999999995E-3</v>
      </c>
      <c r="E48" s="110" t="s">
        <v>112</v>
      </c>
      <c r="F48" s="125">
        <v>100</v>
      </c>
      <c r="G48" s="9" t="s">
        <v>209</v>
      </c>
      <c r="H48" s="108">
        <v>43101</v>
      </c>
      <c r="I48" s="110" t="s">
        <v>106</v>
      </c>
      <c r="J48" s="54">
        <v>0</v>
      </c>
      <c r="K48" s="54">
        <v>0</v>
      </c>
      <c r="L48" s="54">
        <v>0</v>
      </c>
      <c r="M48" s="125">
        <v>100</v>
      </c>
      <c r="N48" s="43">
        <v>5.7000000000000002E-2</v>
      </c>
      <c r="O48" s="126" t="s">
        <v>579</v>
      </c>
      <c r="P48" s="170">
        <v>0.114</v>
      </c>
      <c r="Q48" s="170" t="s">
        <v>807</v>
      </c>
      <c r="R48" s="77">
        <v>0.5</v>
      </c>
      <c r="S48" s="179" t="s">
        <v>807</v>
      </c>
      <c r="T48" s="115"/>
      <c r="U48" s="115"/>
    </row>
    <row r="49" spans="1:21" ht="127.5">
      <c r="A49" s="319"/>
      <c r="B49" s="365"/>
      <c r="C49" s="9" t="s">
        <v>231</v>
      </c>
      <c r="D49" s="124">
        <v>9.2499999999999995E-3</v>
      </c>
      <c r="E49" s="110" t="s">
        <v>112</v>
      </c>
      <c r="F49" s="125">
        <v>590</v>
      </c>
      <c r="G49" s="9" t="s">
        <v>205</v>
      </c>
      <c r="H49" s="108">
        <v>43101</v>
      </c>
      <c r="I49" s="110" t="s">
        <v>106</v>
      </c>
      <c r="J49" s="54">
        <v>0</v>
      </c>
      <c r="K49" s="54">
        <v>0</v>
      </c>
      <c r="L49" s="54">
        <v>0</v>
      </c>
      <c r="M49" s="125">
        <v>590</v>
      </c>
      <c r="N49" s="43">
        <v>0.13220338983050847</v>
      </c>
      <c r="O49" s="126" t="s">
        <v>580</v>
      </c>
      <c r="P49" s="170">
        <v>0.2288135593220339</v>
      </c>
      <c r="Q49" s="170" t="s">
        <v>808</v>
      </c>
      <c r="R49" s="188">
        <f>258/590</f>
        <v>0.43728813559322033</v>
      </c>
      <c r="S49" s="126" t="s">
        <v>852</v>
      </c>
      <c r="T49" s="115"/>
      <c r="U49" s="115"/>
    </row>
    <row r="50" spans="1:21" ht="357">
      <c r="A50" s="319"/>
      <c r="B50" s="365"/>
      <c r="C50" s="9" t="s">
        <v>232</v>
      </c>
      <c r="D50" s="124">
        <v>9.2499999999999995E-3</v>
      </c>
      <c r="E50" s="110" t="s">
        <v>112</v>
      </c>
      <c r="F50" s="125">
        <v>12</v>
      </c>
      <c r="G50" s="9" t="s">
        <v>226</v>
      </c>
      <c r="H50" s="108">
        <v>43101</v>
      </c>
      <c r="I50" s="110" t="s">
        <v>106</v>
      </c>
      <c r="J50" s="54">
        <v>0</v>
      </c>
      <c r="K50" s="54">
        <v>0</v>
      </c>
      <c r="L50" s="54">
        <v>0</v>
      </c>
      <c r="M50" s="125">
        <v>12</v>
      </c>
      <c r="N50" s="43">
        <v>0</v>
      </c>
      <c r="O50" s="126" t="s">
        <v>581</v>
      </c>
      <c r="P50" s="170">
        <v>0</v>
      </c>
      <c r="Q50" s="170" t="s">
        <v>809</v>
      </c>
      <c r="R50" s="43">
        <v>0</v>
      </c>
      <c r="S50" s="179" t="s">
        <v>853</v>
      </c>
      <c r="T50" s="115"/>
      <c r="U50" s="115"/>
    </row>
    <row r="51" spans="1:21" ht="126">
      <c r="A51" s="319"/>
      <c r="B51" s="365"/>
      <c r="C51" s="9" t="s">
        <v>233</v>
      </c>
      <c r="D51" s="124">
        <v>9.2499999999999995E-3</v>
      </c>
      <c r="E51" s="110" t="s">
        <v>112</v>
      </c>
      <c r="F51" s="125">
        <v>22824</v>
      </c>
      <c r="G51" s="9" t="s">
        <v>18</v>
      </c>
      <c r="H51" s="108">
        <v>43101</v>
      </c>
      <c r="I51" s="110" t="s">
        <v>106</v>
      </c>
      <c r="J51" s="54">
        <v>0</v>
      </c>
      <c r="K51" s="54">
        <v>0</v>
      </c>
      <c r="L51" s="54">
        <v>0</v>
      </c>
      <c r="M51" s="125">
        <v>22824</v>
      </c>
      <c r="N51" s="43">
        <v>0</v>
      </c>
      <c r="O51" s="126"/>
      <c r="P51" s="170">
        <v>0.74660000000000004</v>
      </c>
      <c r="Q51" s="170" t="s">
        <v>810</v>
      </c>
      <c r="R51" s="43">
        <f>3598/3666</f>
        <v>0.98145117294053463</v>
      </c>
      <c r="S51" s="179" t="s">
        <v>854</v>
      </c>
      <c r="T51" s="115"/>
      <c r="U51" s="115"/>
    </row>
    <row r="52" spans="1:21" ht="267.75">
      <c r="A52" s="319"/>
      <c r="B52" s="365"/>
      <c r="C52" s="9" t="s">
        <v>234</v>
      </c>
      <c r="D52" s="124">
        <v>9.2499999999999995E-3</v>
      </c>
      <c r="E52" s="110" t="s">
        <v>112</v>
      </c>
      <c r="F52" s="125">
        <v>20</v>
      </c>
      <c r="G52" s="9" t="s">
        <v>228</v>
      </c>
      <c r="H52" s="108">
        <v>43101</v>
      </c>
      <c r="I52" s="110" t="s">
        <v>106</v>
      </c>
      <c r="J52" s="54">
        <v>0</v>
      </c>
      <c r="K52" s="54">
        <v>0</v>
      </c>
      <c r="L52" s="54">
        <v>0</v>
      </c>
      <c r="M52" s="125">
        <v>20</v>
      </c>
      <c r="N52" s="43">
        <v>0.2</v>
      </c>
      <c r="O52" s="126" t="s">
        <v>582</v>
      </c>
      <c r="P52" s="170">
        <v>0.1</v>
      </c>
      <c r="Q52" s="170" t="s">
        <v>811</v>
      </c>
      <c r="R52" s="43">
        <v>0.3</v>
      </c>
      <c r="S52" s="182" t="s">
        <v>855</v>
      </c>
      <c r="T52" s="115"/>
      <c r="U52" s="115"/>
    </row>
    <row r="53" spans="1:21" ht="220.5">
      <c r="A53" s="319"/>
      <c r="B53" s="365"/>
      <c r="C53" s="9" t="s">
        <v>235</v>
      </c>
      <c r="D53" s="124">
        <v>9.2499999999999995E-3</v>
      </c>
      <c r="E53" s="110" t="s">
        <v>112</v>
      </c>
      <c r="F53" s="125">
        <v>20</v>
      </c>
      <c r="G53" s="9" t="s">
        <v>228</v>
      </c>
      <c r="H53" s="108">
        <v>43101</v>
      </c>
      <c r="I53" s="110" t="s">
        <v>106</v>
      </c>
      <c r="J53" s="54">
        <v>0</v>
      </c>
      <c r="K53" s="54">
        <v>0</v>
      </c>
      <c r="L53" s="54">
        <v>0</v>
      </c>
      <c r="M53" s="125">
        <v>20</v>
      </c>
      <c r="N53" s="43">
        <v>0</v>
      </c>
      <c r="O53" s="126" t="s">
        <v>583</v>
      </c>
      <c r="P53" s="170">
        <v>0</v>
      </c>
      <c r="Q53" s="170" t="s">
        <v>812</v>
      </c>
      <c r="R53" s="188">
        <f>6/20</f>
        <v>0.3</v>
      </c>
      <c r="S53" s="172" t="s">
        <v>856</v>
      </c>
      <c r="T53" s="115"/>
      <c r="U53" s="115"/>
    </row>
    <row r="54" spans="1:21" ht="204.75">
      <c r="A54" s="319"/>
      <c r="B54" s="365"/>
      <c r="C54" s="9" t="s">
        <v>236</v>
      </c>
      <c r="D54" s="124">
        <v>9.2499999999999995E-3</v>
      </c>
      <c r="E54" s="110" t="s">
        <v>112</v>
      </c>
      <c r="F54" s="125">
        <v>95</v>
      </c>
      <c r="G54" s="9" t="s">
        <v>228</v>
      </c>
      <c r="H54" s="108">
        <v>43101</v>
      </c>
      <c r="I54" s="110" t="s">
        <v>106</v>
      </c>
      <c r="J54" s="54">
        <v>0</v>
      </c>
      <c r="K54" s="54">
        <v>0</v>
      </c>
      <c r="L54" s="54">
        <v>0</v>
      </c>
      <c r="M54" s="125">
        <v>95</v>
      </c>
      <c r="N54" s="43">
        <v>0.38947368421052631</v>
      </c>
      <c r="O54" s="126" t="s">
        <v>584</v>
      </c>
      <c r="P54" s="170">
        <v>0.91578947368421049</v>
      </c>
      <c r="Q54" s="170" t="s">
        <v>813</v>
      </c>
      <c r="R54" s="188">
        <f>89/95</f>
        <v>0.93684210526315792</v>
      </c>
      <c r="S54" s="172" t="s">
        <v>857</v>
      </c>
      <c r="T54" s="115"/>
      <c r="U54" s="115"/>
    </row>
    <row r="55" spans="1:21" ht="267.75">
      <c r="A55" s="319"/>
      <c r="B55" s="365"/>
      <c r="C55" s="9" t="s">
        <v>237</v>
      </c>
      <c r="D55" s="124">
        <v>9.2499999999999995E-3</v>
      </c>
      <c r="E55" s="110" t="s">
        <v>112</v>
      </c>
      <c r="F55" s="125">
        <v>60</v>
      </c>
      <c r="G55" s="9" t="s">
        <v>226</v>
      </c>
      <c r="H55" s="108">
        <v>43101</v>
      </c>
      <c r="I55" s="110" t="s">
        <v>106</v>
      </c>
      <c r="J55" s="54">
        <v>0</v>
      </c>
      <c r="K55" s="54">
        <v>0</v>
      </c>
      <c r="L55" s="54">
        <v>0</v>
      </c>
      <c r="M55" s="125">
        <v>60</v>
      </c>
      <c r="N55" s="43">
        <v>0.25</v>
      </c>
      <c r="O55" s="126" t="s">
        <v>585</v>
      </c>
      <c r="P55" s="170">
        <v>0.25</v>
      </c>
      <c r="Q55" s="170" t="s">
        <v>814</v>
      </c>
      <c r="R55" s="43">
        <f>26/60</f>
        <v>0.43333333333333335</v>
      </c>
      <c r="S55" s="172" t="s">
        <v>858</v>
      </c>
      <c r="T55" s="115"/>
      <c r="U55" s="115"/>
    </row>
    <row r="56" spans="1:21" ht="78.75">
      <c r="A56" s="319"/>
      <c r="B56" s="365"/>
      <c r="C56" s="9" t="s">
        <v>238</v>
      </c>
      <c r="D56" s="124">
        <v>9.2499999999999995E-3</v>
      </c>
      <c r="E56" s="110" t="s">
        <v>112</v>
      </c>
      <c r="F56" s="125">
        <v>1</v>
      </c>
      <c r="G56" s="9" t="s">
        <v>239</v>
      </c>
      <c r="H56" s="108">
        <v>43101</v>
      </c>
      <c r="I56" s="110" t="s">
        <v>106</v>
      </c>
      <c r="J56" s="54">
        <v>0</v>
      </c>
      <c r="K56" s="54">
        <v>0</v>
      </c>
      <c r="L56" s="54">
        <v>0</v>
      </c>
      <c r="M56" s="125">
        <v>1</v>
      </c>
      <c r="N56" s="43">
        <v>0</v>
      </c>
      <c r="O56" s="126" t="s">
        <v>586</v>
      </c>
      <c r="P56" s="170">
        <v>0</v>
      </c>
      <c r="Q56" s="170" t="s">
        <v>815</v>
      </c>
      <c r="R56" s="43">
        <v>0</v>
      </c>
      <c r="S56" s="172" t="s">
        <v>859</v>
      </c>
      <c r="T56" s="115"/>
      <c r="U56" s="115"/>
    </row>
    <row r="57" spans="1:21" ht="140.25">
      <c r="A57" s="319"/>
      <c r="B57" s="365"/>
      <c r="C57" s="9" t="s">
        <v>240</v>
      </c>
      <c r="D57" s="124">
        <v>9.2499999999999995E-3</v>
      </c>
      <c r="E57" s="110" t="s">
        <v>112</v>
      </c>
      <c r="F57" s="125">
        <v>3948</v>
      </c>
      <c r="G57" s="9" t="s">
        <v>241</v>
      </c>
      <c r="H57" s="108">
        <v>43101</v>
      </c>
      <c r="I57" s="110" t="s">
        <v>106</v>
      </c>
      <c r="J57" s="54">
        <v>0</v>
      </c>
      <c r="K57" s="54">
        <v>0</v>
      </c>
      <c r="L57" s="54">
        <v>0</v>
      </c>
      <c r="M57" s="125">
        <v>3948</v>
      </c>
      <c r="N57" s="43">
        <v>6.5856129685916923E-3</v>
      </c>
      <c r="O57" s="126" t="s">
        <v>587</v>
      </c>
      <c r="P57" s="170">
        <v>6.6362715298885516E-2</v>
      </c>
      <c r="Q57" s="170" t="s">
        <v>816</v>
      </c>
      <c r="R57" s="189">
        <f>938/3948</f>
        <v>0.23758865248226951</v>
      </c>
      <c r="S57" s="172" t="s">
        <v>860</v>
      </c>
      <c r="T57" s="115"/>
      <c r="U57" s="115"/>
    </row>
    <row r="58" spans="1:21" ht="127.5">
      <c r="A58" s="319"/>
      <c r="B58" s="365"/>
      <c r="C58" s="9" t="s">
        <v>242</v>
      </c>
      <c r="D58" s="124">
        <v>9.2499999999999995E-3</v>
      </c>
      <c r="E58" s="110" t="s">
        <v>112</v>
      </c>
      <c r="F58" s="125">
        <v>590</v>
      </c>
      <c r="G58" s="9" t="s">
        <v>243</v>
      </c>
      <c r="H58" s="108">
        <v>43101</v>
      </c>
      <c r="I58" s="110" t="s">
        <v>106</v>
      </c>
      <c r="J58" s="54">
        <v>0</v>
      </c>
      <c r="K58" s="54">
        <v>0</v>
      </c>
      <c r="L58" s="54">
        <v>0</v>
      </c>
      <c r="M58" s="125">
        <v>590</v>
      </c>
      <c r="N58" s="43">
        <v>0.67796610169491522</v>
      </c>
      <c r="O58" s="126" t="s">
        <v>588</v>
      </c>
      <c r="P58" s="170">
        <v>0.77457627118644068</v>
      </c>
      <c r="Q58" s="170" t="s">
        <v>817</v>
      </c>
      <c r="R58" s="189">
        <f>467/590</f>
        <v>0.79152542372881352</v>
      </c>
      <c r="S58" s="172" t="s">
        <v>861</v>
      </c>
      <c r="T58" s="115"/>
      <c r="U58" s="115"/>
    </row>
    <row r="59" spans="1:21" ht="51">
      <c r="A59" s="319"/>
      <c r="B59" s="365"/>
      <c r="C59" s="9" t="s">
        <v>244</v>
      </c>
      <c r="D59" s="124">
        <v>9.2499999999999995E-3</v>
      </c>
      <c r="E59" s="110" t="s">
        <v>112</v>
      </c>
      <c r="F59" s="125">
        <v>20000</v>
      </c>
      <c r="G59" s="9" t="s">
        <v>245</v>
      </c>
      <c r="H59" s="108">
        <v>43101</v>
      </c>
      <c r="I59" s="110" t="s">
        <v>106</v>
      </c>
      <c r="J59" s="54">
        <v>0</v>
      </c>
      <c r="K59" s="54">
        <v>0</v>
      </c>
      <c r="L59" s="54">
        <v>0</v>
      </c>
      <c r="M59" s="125">
        <v>20000</v>
      </c>
      <c r="N59" s="43">
        <v>0.11685</v>
      </c>
      <c r="O59" s="126" t="s">
        <v>589</v>
      </c>
      <c r="P59" s="170">
        <v>0.11685</v>
      </c>
      <c r="Q59" s="170" t="s">
        <v>589</v>
      </c>
      <c r="R59" s="188">
        <f>3685/20000</f>
        <v>0.18425</v>
      </c>
      <c r="S59" s="172" t="s">
        <v>862</v>
      </c>
      <c r="T59" s="115"/>
      <c r="U59" s="115"/>
    </row>
    <row r="60" spans="1:21" ht="102">
      <c r="A60" s="319"/>
      <c r="B60" s="365"/>
      <c r="C60" s="9" t="s">
        <v>246</v>
      </c>
      <c r="D60" s="124">
        <v>9.2499999999999995E-3</v>
      </c>
      <c r="E60" s="110" t="s">
        <v>112</v>
      </c>
      <c r="F60" s="125">
        <v>10</v>
      </c>
      <c r="G60" s="9" t="s">
        <v>247</v>
      </c>
      <c r="H60" s="108">
        <v>43101</v>
      </c>
      <c r="I60" s="110" t="s">
        <v>106</v>
      </c>
      <c r="J60" s="54">
        <v>0</v>
      </c>
      <c r="K60" s="54">
        <v>0</v>
      </c>
      <c r="L60" s="54">
        <v>0</v>
      </c>
      <c r="M60" s="125">
        <v>10</v>
      </c>
      <c r="N60" s="43">
        <v>0</v>
      </c>
      <c r="O60" s="126" t="s">
        <v>590</v>
      </c>
      <c r="P60" s="170">
        <v>0</v>
      </c>
      <c r="Q60" s="170" t="s">
        <v>818</v>
      </c>
      <c r="R60" s="192">
        <f>8/10</f>
        <v>0.8</v>
      </c>
      <c r="S60" s="179" t="s">
        <v>863</v>
      </c>
      <c r="T60" s="115"/>
      <c r="U60" s="115"/>
    </row>
    <row r="61" spans="1:21" ht="165.75">
      <c r="A61" s="319"/>
      <c r="B61" s="365"/>
      <c r="C61" s="9" t="s">
        <v>248</v>
      </c>
      <c r="D61" s="124">
        <v>9.2499999999999995E-3</v>
      </c>
      <c r="E61" s="110" t="s">
        <v>112</v>
      </c>
      <c r="F61" s="125">
        <v>3944</v>
      </c>
      <c r="G61" s="9" t="s">
        <v>249</v>
      </c>
      <c r="H61" s="108">
        <v>43101</v>
      </c>
      <c r="I61" s="110" t="s">
        <v>106</v>
      </c>
      <c r="J61" s="54">
        <v>0</v>
      </c>
      <c r="K61" s="54">
        <v>0</v>
      </c>
      <c r="L61" s="54">
        <v>0</v>
      </c>
      <c r="M61" s="125">
        <v>3944</v>
      </c>
      <c r="N61" s="43">
        <v>0</v>
      </c>
      <c r="O61" s="126" t="s">
        <v>591</v>
      </c>
      <c r="P61" s="170">
        <v>0</v>
      </c>
      <c r="Q61" s="170" t="s">
        <v>819</v>
      </c>
      <c r="R61" s="192">
        <v>0</v>
      </c>
      <c r="S61" s="179" t="s">
        <v>864</v>
      </c>
      <c r="T61" s="115"/>
      <c r="U61" s="115"/>
    </row>
    <row r="62" spans="1:21" ht="114.75">
      <c r="A62" s="319"/>
      <c r="B62" s="365"/>
      <c r="C62" s="9" t="s">
        <v>250</v>
      </c>
      <c r="D62" s="124">
        <v>9.2499999999999995E-3</v>
      </c>
      <c r="E62" s="110" t="s">
        <v>112</v>
      </c>
      <c r="F62" s="125">
        <v>5</v>
      </c>
      <c r="G62" s="9" t="s">
        <v>251</v>
      </c>
      <c r="H62" s="108">
        <v>43101</v>
      </c>
      <c r="I62" s="110" t="s">
        <v>106</v>
      </c>
      <c r="J62" s="54">
        <v>0</v>
      </c>
      <c r="K62" s="54">
        <v>0</v>
      </c>
      <c r="L62" s="54">
        <v>0</v>
      </c>
      <c r="M62" s="125">
        <v>5</v>
      </c>
      <c r="N62" s="43">
        <v>0</v>
      </c>
      <c r="O62" s="126" t="s">
        <v>592</v>
      </c>
      <c r="P62" s="170">
        <v>0.8</v>
      </c>
      <c r="Q62" s="170" t="s">
        <v>820</v>
      </c>
      <c r="R62" s="192">
        <f>5/5</f>
        <v>1</v>
      </c>
      <c r="S62" s="179" t="s">
        <v>865</v>
      </c>
      <c r="T62" s="115"/>
      <c r="U62" s="115"/>
    </row>
    <row r="63" spans="1:21" ht="78.75">
      <c r="A63" s="319"/>
      <c r="B63" s="365"/>
      <c r="C63" s="9" t="s">
        <v>252</v>
      </c>
      <c r="D63" s="124">
        <v>9.2499999999999995E-3</v>
      </c>
      <c r="E63" s="110" t="s">
        <v>112</v>
      </c>
      <c r="F63" s="125">
        <v>16574</v>
      </c>
      <c r="G63" s="9" t="s">
        <v>253</v>
      </c>
      <c r="H63" s="108">
        <v>43101</v>
      </c>
      <c r="I63" s="110" t="s">
        <v>106</v>
      </c>
      <c r="J63" s="54">
        <v>0</v>
      </c>
      <c r="K63" s="54">
        <v>0</v>
      </c>
      <c r="L63" s="54">
        <v>0</v>
      </c>
      <c r="M63" s="125">
        <v>16574</v>
      </c>
      <c r="N63" s="43">
        <v>0.33335344515506216</v>
      </c>
      <c r="O63" s="126" t="s">
        <v>593</v>
      </c>
      <c r="P63" s="170">
        <v>0.35465186436587426</v>
      </c>
      <c r="Q63" s="170" t="s">
        <v>821</v>
      </c>
      <c r="R63" s="192">
        <f>7495/16574</f>
        <v>0.45221431157234221</v>
      </c>
      <c r="S63" s="179" t="s">
        <v>866</v>
      </c>
      <c r="T63" s="115"/>
      <c r="U63" s="115"/>
    </row>
    <row r="64" spans="1:21" ht="89.25">
      <c r="A64" s="319"/>
      <c r="B64" s="365"/>
      <c r="C64" s="9" t="s">
        <v>254</v>
      </c>
      <c r="D64" s="124">
        <v>9.2499999999999995E-3</v>
      </c>
      <c r="E64" s="110" t="s">
        <v>112</v>
      </c>
      <c r="F64" s="125">
        <v>500</v>
      </c>
      <c r="G64" s="9" t="s">
        <v>255</v>
      </c>
      <c r="H64" s="108">
        <v>43101</v>
      </c>
      <c r="I64" s="110" t="s">
        <v>106</v>
      </c>
      <c r="J64" s="54">
        <v>0</v>
      </c>
      <c r="K64" s="54">
        <v>0</v>
      </c>
      <c r="L64" s="54">
        <v>0</v>
      </c>
      <c r="M64" s="125">
        <v>500</v>
      </c>
      <c r="N64" s="43">
        <v>0</v>
      </c>
      <c r="O64" s="126" t="s">
        <v>594</v>
      </c>
      <c r="P64" s="170">
        <v>0</v>
      </c>
      <c r="Q64" s="170" t="s">
        <v>818</v>
      </c>
      <c r="R64" s="192">
        <v>0</v>
      </c>
      <c r="S64" s="179" t="s">
        <v>867</v>
      </c>
      <c r="T64" s="115"/>
      <c r="U64" s="115"/>
    </row>
    <row r="65" spans="1:21" ht="110.25">
      <c r="A65" s="319"/>
      <c r="B65" s="365"/>
      <c r="C65" s="9" t="s">
        <v>256</v>
      </c>
      <c r="D65" s="124">
        <v>9.2499999999999995E-3</v>
      </c>
      <c r="E65" s="110" t="s">
        <v>112</v>
      </c>
      <c r="F65" s="125">
        <v>350</v>
      </c>
      <c r="G65" s="9" t="s">
        <v>257</v>
      </c>
      <c r="H65" s="108">
        <v>43101</v>
      </c>
      <c r="I65" s="110" t="s">
        <v>106</v>
      </c>
      <c r="J65" s="54">
        <v>0</v>
      </c>
      <c r="K65" s="54">
        <v>0</v>
      </c>
      <c r="L65" s="54">
        <v>0</v>
      </c>
      <c r="M65" s="125">
        <v>350</v>
      </c>
      <c r="N65" s="43">
        <v>0</v>
      </c>
      <c r="O65" s="126" t="s">
        <v>595</v>
      </c>
      <c r="P65" s="170">
        <v>0</v>
      </c>
      <c r="Q65" s="170" t="s">
        <v>818</v>
      </c>
      <c r="R65" s="192">
        <f>38/350</f>
        <v>0.10857142857142857</v>
      </c>
      <c r="S65" s="172" t="s">
        <v>868</v>
      </c>
      <c r="T65" s="115"/>
      <c r="U65" s="115"/>
    </row>
    <row r="66" spans="1:21" ht="126">
      <c r="A66" s="319"/>
      <c r="B66" s="365"/>
      <c r="C66" s="9" t="s">
        <v>258</v>
      </c>
      <c r="D66" s="124">
        <v>9.2499999999999995E-3</v>
      </c>
      <c r="E66" s="110" t="s">
        <v>112</v>
      </c>
      <c r="F66" s="125">
        <v>2805</v>
      </c>
      <c r="G66" s="9" t="s">
        <v>258</v>
      </c>
      <c r="H66" s="108">
        <v>43101</v>
      </c>
      <c r="I66" s="110" t="s">
        <v>106</v>
      </c>
      <c r="J66" s="54">
        <v>0</v>
      </c>
      <c r="K66" s="54">
        <v>0</v>
      </c>
      <c r="L66" s="54">
        <v>0</v>
      </c>
      <c r="M66" s="125">
        <v>2805</v>
      </c>
      <c r="N66" s="43">
        <v>1.1023172905525846</v>
      </c>
      <c r="O66" s="126" t="s">
        <v>596</v>
      </c>
      <c r="P66" s="170">
        <v>1.4829736211031175</v>
      </c>
      <c r="Q66" s="170" t="s">
        <v>596</v>
      </c>
      <c r="R66" s="192">
        <f>8533/2085</f>
        <v>4.092565947242206</v>
      </c>
      <c r="S66" s="179" t="s">
        <v>869</v>
      </c>
      <c r="T66" s="115"/>
      <c r="U66" s="115"/>
    </row>
    <row r="67" spans="1:21" ht="63.75">
      <c r="A67" s="319"/>
      <c r="B67" s="365"/>
      <c r="C67" s="9" t="s">
        <v>259</v>
      </c>
      <c r="D67" s="124">
        <v>9.2499999999999995E-3</v>
      </c>
      <c r="E67" s="110" t="s">
        <v>112</v>
      </c>
      <c r="F67" s="125">
        <v>78417</v>
      </c>
      <c r="G67" s="9" t="s">
        <v>260</v>
      </c>
      <c r="H67" s="108">
        <v>43101</v>
      </c>
      <c r="I67" s="110" t="s">
        <v>106</v>
      </c>
      <c r="J67" s="54">
        <v>0</v>
      </c>
      <c r="K67" s="54">
        <v>0</v>
      </c>
      <c r="L67" s="54">
        <v>0</v>
      </c>
      <c r="M67" s="125">
        <v>78417</v>
      </c>
      <c r="N67" s="43">
        <v>0.8399454199982147</v>
      </c>
      <c r="O67" s="126" t="s">
        <v>597</v>
      </c>
      <c r="P67" s="170">
        <v>0.8399454199982147</v>
      </c>
      <c r="Q67" s="170" t="s">
        <v>597</v>
      </c>
      <c r="R67" s="192">
        <f>73017/78417</f>
        <v>0.93113738092505449</v>
      </c>
      <c r="S67" s="172" t="s">
        <v>870</v>
      </c>
      <c r="T67" s="115"/>
      <c r="U67" s="115"/>
    </row>
    <row r="68" spans="1:21" ht="78.75">
      <c r="A68" s="319"/>
      <c r="B68" s="365"/>
      <c r="C68" s="9" t="s">
        <v>261</v>
      </c>
      <c r="D68" s="124">
        <v>9.2499999999999995E-3</v>
      </c>
      <c r="E68" s="110" t="s">
        <v>112</v>
      </c>
      <c r="F68" s="125">
        <v>6422</v>
      </c>
      <c r="G68" s="9" t="s">
        <v>262</v>
      </c>
      <c r="H68" s="108">
        <v>43101</v>
      </c>
      <c r="I68" s="110" t="s">
        <v>106</v>
      </c>
      <c r="J68" s="54">
        <v>0</v>
      </c>
      <c r="K68" s="54">
        <v>0</v>
      </c>
      <c r="L68" s="54">
        <v>0</v>
      </c>
      <c r="M68" s="125">
        <v>6422</v>
      </c>
      <c r="N68" s="43">
        <v>0.10541887262535035</v>
      </c>
      <c r="O68" s="126" t="s">
        <v>598</v>
      </c>
      <c r="P68" s="170">
        <v>0.10541887262535035</v>
      </c>
      <c r="Q68" s="170" t="s">
        <v>598</v>
      </c>
      <c r="R68" s="192">
        <f>721/6422</f>
        <v>0.11227032077234507</v>
      </c>
      <c r="S68" s="172" t="s">
        <v>871</v>
      </c>
      <c r="T68" s="115"/>
      <c r="U68" s="115"/>
    </row>
    <row r="69" spans="1:21" ht="110.25">
      <c r="A69" s="319"/>
      <c r="B69" s="365"/>
      <c r="C69" s="9" t="s">
        <v>263</v>
      </c>
      <c r="D69" s="124">
        <v>9.2499999999999995E-3</v>
      </c>
      <c r="E69" s="110" t="s">
        <v>112</v>
      </c>
      <c r="F69" s="125">
        <v>1</v>
      </c>
      <c r="G69" s="9" t="s">
        <v>264</v>
      </c>
      <c r="H69" s="108">
        <v>43101</v>
      </c>
      <c r="I69" s="110" t="s">
        <v>106</v>
      </c>
      <c r="J69" s="54">
        <v>0</v>
      </c>
      <c r="K69" s="54">
        <v>0</v>
      </c>
      <c r="L69" s="54">
        <v>0</v>
      </c>
      <c r="M69" s="125">
        <v>1</v>
      </c>
      <c r="N69" s="43">
        <v>0</v>
      </c>
      <c r="O69" s="126" t="s">
        <v>599</v>
      </c>
      <c r="P69" s="170">
        <v>0</v>
      </c>
      <c r="Q69" s="170" t="s">
        <v>818</v>
      </c>
      <c r="R69" s="192">
        <v>0</v>
      </c>
      <c r="S69" s="172" t="s">
        <v>872</v>
      </c>
      <c r="T69" s="115"/>
      <c r="U69" s="115"/>
    </row>
    <row r="70" spans="1:21" ht="157.5">
      <c r="A70" s="319"/>
      <c r="B70" s="365"/>
      <c r="C70" s="9" t="s">
        <v>265</v>
      </c>
      <c r="D70" s="124">
        <v>9.2499999999999995E-3</v>
      </c>
      <c r="E70" s="110" t="s">
        <v>112</v>
      </c>
      <c r="F70" s="125">
        <v>2</v>
      </c>
      <c r="G70" s="9" t="s">
        <v>266</v>
      </c>
      <c r="H70" s="108">
        <v>43101</v>
      </c>
      <c r="I70" s="110" t="s">
        <v>106</v>
      </c>
      <c r="J70" s="54">
        <v>0</v>
      </c>
      <c r="K70" s="54">
        <v>0</v>
      </c>
      <c r="L70" s="54">
        <v>0</v>
      </c>
      <c r="M70" s="125">
        <v>2</v>
      </c>
      <c r="N70" s="43">
        <v>0</v>
      </c>
      <c r="O70" s="126"/>
      <c r="P70" s="170">
        <v>0.5</v>
      </c>
      <c r="Q70" s="170" t="s">
        <v>822</v>
      </c>
      <c r="R70" s="192">
        <v>0</v>
      </c>
      <c r="S70" s="172" t="s">
        <v>873</v>
      </c>
      <c r="T70" s="115"/>
      <c r="U70" s="115"/>
    </row>
    <row r="71" spans="1:21" ht="78.75">
      <c r="A71" s="319"/>
      <c r="B71" s="365"/>
      <c r="C71" s="9" t="s">
        <v>267</v>
      </c>
      <c r="D71" s="124">
        <v>9.2499999999999995E-3</v>
      </c>
      <c r="E71" s="110" t="s">
        <v>112</v>
      </c>
      <c r="F71" s="125">
        <v>20</v>
      </c>
      <c r="G71" s="9" t="s">
        <v>267</v>
      </c>
      <c r="H71" s="108">
        <v>43101</v>
      </c>
      <c r="I71" s="110" t="s">
        <v>106</v>
      </c>
      <c r="J71" s="54">
        <v>0</v>
      </c>
      <c r="K71" s="54">
        <v>0</v>
      </c>
      <c r="L71" s="54">
        <v>0</v>
      </c>
      <c r="M71" s="125">
        <v>20</v>
      </c>
      <c r="N71" s="43">
        <v>0</v>
      </c>
      <c r="O71" s="126" t="s">
        <v>600</v>
      </c>
      <c r="P71" s="170">
        <v>1.4000000000000001</v>
      </c>
      <c r="Q71" s="170" t="s">
        <v>823</v>
      </c>
      <c r="R71" s="192">
        <f>38/20</f>
        <v>1.9</v>
      </c>
      <c r="S71" s="172" t="s">
        <v>874</v>
      </c>
      <c r="T71" s="115"/>
      <c r="U71" s="115"/>
    </row>
    <row r="72" spans="1:21" ht="283.5">
      <c r="A72" s="319"/>
      <c r="B72" s="365"/>
      <c r="C72" s="9" t="s">
        <v>268</v>
      </c>
      <c r="D72" s="124">
        <v>9.2499999999999995E-3</v>
      </c>
      <c r="E72" s="110" t="s">
        <v>105</v>
      </c>
      <c r="F72" s="124">
        <v>1</v>
      </c>
      <c r="G72" s="9" t="s">
        <v>268</v>
      </c>
      <c r="H72" s="108">
        <v>43101</v>
      </c>
      <c r="I72" s="110" t="s">
        <v>106</v>
      </c>
      <c r="J72" s="54">
        <v>0</v>
      </c>
      <c r="K72" s="54">
        <v>0</v>
      </c>
      <c r="L72" s="54">
        <v>0</v>
      </c>
      <c r="M72" s="128">
        <v>1</v>
      </c>
      <c r="N72" s="43">
        <v>0.9365</v>
      </c>
      <c r="O72" s="126" t="s">
        <v>601</v>
      </c>
      <c r="P72" s="170">
        <v>0.93650000000000011</v>
      </c>
      <c r="Q72" s="170" t="s">
        <v>824</v>
      </c>
      <c r="R72" s="193">
        <v>0.9365</v>
      </c>
      <c r="S72" s="172" t="s">
        <v>824</v>
      </c>
      <c r="T72" s="115"/>
      <c r="U72" s="115"/>
    </row>
    <row r="73" spans="1:21" ht="63">
      <c r="A73" s="319"/>
      <c r="B73" s="365"/>
      <c r="C73" s="9" t="s">
        <v>269</v>
      </c>
      <c r="D73" s="124">
        <v>9.2499999999999995E-3</v>
      </c>
      <c r="E73" s="110" t="s">
        <v>112</v>
      </c>
      <c r="F73" s="125">
        <v>12855</v>
      </c>
      <c r="G73" s="9" t="s">
        <v>270</v>
      </c>
      <c r="H73" s="108">
        <v>43101</v>
      </c>
      <c r="I73" s="110" t="s">
        <v>106</v>
      </c>
      <c r="J73" s="54">
        <v>0</v>
      </c>
      <c r="K73" s="54">
        <v>0</v>
      </c>
      <c r="L73" s="54">
        <v>0</v>
      </c>
      <c r="M73" s="125">
        <v>12855</v>
      </c>
      <c r="N73" s="43">
        <v>0.24644107351225203</v>
      </c>
      <c r="O73" s="126" t="s">
        <v>602</v>
      </c>
      <c r="P73" s="170">
        <v>0.28556981719175412</v>
      </c>
      <c r="Q73" s="170" t="s">
        <v>825</v>
      </c>
      <c r="R73" s="193">
        <f>3713/12855</f>
        <v>0.28883702839362113</v>
      </c>
      <c r="S73" s="172" t="s">
        <v>875</v>
      </c>
      <c r="T73" s="115"/>
      <c r="U73" s="115"/>
    </row>
    <row r="74" spans="1:21" ht="204">
      <c r="A74" s="319"/>
      <c r="B74" s="365"/>
      <c r="C74" s="9" t="s">
        <v>271</v>
      </c>
      <c r="D74" s="124">
        <v>9.2499999999999995E-3</v>
      </c>
      <c r="E74" s="110" t="s">
        <v>112</v>
      </c>
      <c r="F74" s="125">
        <v>95</v>
      </c>
      <c r="G74" s="9" t="s">
        <v>272</v>
      </c>
      <c r="H74" s="108">
        <v>43101</v>
      </c>
      <c r="I74" s="110" t="s">
        <v>106</v>
      </c>
      <c r="J74" s="54">
        <v>0</v>
      </c>
      <c r="K74" s="54">
        <v>0</v>
      </c>
      <c r="L74" s="54">
        <v>0</v>
      </c>
      <c r="M74" s="125">
        <v>95</v>
      </c>
      <c r="N74" s="43">
        <v>0.2</v>
      </c>
      <c r="O74" s="126" t="s">
        <v>603</v>
      </c>
      <c r="P74" s="170">
        <v>0.89473684210526316</v>
      </c>
      <c r="Q74" s="170" t="s">
        <v>826</v>
      </c>
      <c r="R74" s="193">
        <f>91/95</f>
        <v>0.95789473684210524</v>
      </c>
      <c r="S74" s="172" t="s">
        <v>876</v>
      </c>
      <c r="T74" s="115"/>
      <c r="U74" s="115"/>
    </row>
    <row r="75" spans="1:21" ht="178.5">
      <c r="A75" s="319"/>
      <c r="B75" s="365"/>
      <c r="C75" s="9" t="s">
        <v>273</v>
      </c>
      <c r="D75" s="124">
        <v>9.2499999999999995E-3</v>
      </c>
      <c r="E75" s="110" t="s">
        <v>112</v>
      </c>
      <c r="F75" s="125">
        <v>100</v>
      </c>
      <c r="G75" s="9" t="s">
        <v>274</v>
      </c>
      <c r="H75" s="108">
        <v>43101</v>
      </c>
      <c r="I75" s="110" t="s">
        <v>106</v>
      </c>
      <c r="J75" s="54">
        <v>0</v>
      </c>
      <c r="K75" s="54">
        <v>0</v>
      </c>
      <c r="L75" s="54">
        <v>0</v>
      </c>
      <c r="M75" s="125">
        <v>100</v>
      </c>
      <c r="N75" s="43">
        <v>0.25</v>
      </c>
      <c r="O75" s="126" t="s">
        <v>604</v>
      </c>
      <c r="P75" s="170">
        <v>0.5</v>
      </c>
      <c r="Q75" s="170" t="s">
        <v>827</v>
      </c>
      <c r="R75" s="193">
        <f>75/100</f>
        <v>0.75</v>
      </c>
      <c r="S75" s="172" t="s">
        <v>877</v>
      </c>
      <c r="T75" s="115"/>
      <c r="U75" s="115"/>
    </row>
    <row r="76" spans="1:21" ht="189">
      <c r="A76" s="319"/>
      <c r="B76" s="365"/>
      <c r="C76" s="9" t="s">
        <v>275</v>
      </c>
      <c r="D76" s="124">
        <v>9.2499999999999995E-3</v>
      </c>
      <c r="E76" s="110" t="s">
        <v>112</v>
      </c>
      <c r="F76" s="125">
        <v>132384</v>
      </c>
      <c r="G76" s="9" t="s">
        <v>276</v>
      </c>
      <c r="H76" s="108">
        <v>43101</v>
      </c>
      <c r="I76" s="110" t="s">
        <v>106</v>
      </c>
      <c r="J76" s="54">
        <v>0</v>
      </c>
      <c r="K76" s="54">
        <v>0</v>
      </c>
      <c r="L76" s="54">
        <v>0</v>
      </c>
      <c r="M76" s="125">
        <v>132384</v>
      </c>
      <c r="N76" s="43">
        <v>0.33930837563451777</v>
      </c>
      <c r="O76" s="126" t="s">
        <v>605</v>
      </c>
      <c r="P76" s="170">
        <v>0.34869017403915881</v>
      </c>
      <c r="Q76" s="170" t="s">
        <v>828</v>
      </c>
      <c r="R76" s="193">
        <f>58285/132384</f>
        <v>0.44027223833695917</v>
      </c>
      <c r="S76" s="172" t="s">
        <v>878</v>
      </c>
      <c r="T76" s="115"/>
      <c r="U76" s="115"/>
    </row>
    <row r="77" spans="1:21" ht="94.5">
      <c r="A77" s="319"/>
      <c r="B77" s="365"/>
      <c r="C77" s="9" t="s">
        <v>277</v>
      </c>
      <c r="D77" s="124">
        <v>9.2499999999999995E-3</v>
      </c>
      <c r="E77" s="110" t="s">
        <v>112</v>
      </c>
      <c r="F77" s="125">
        <v>20000</v>
      </c>
      <c r="G77" s="9" t="s">
        <v>278</v>
      </c>
      <c r="H77" s="108">
        <v>43101</v>
      </c>
      <c r="I77" s="110" t="s">
        <v>106</v>
      </c>
      <c r="J77" s="54">
        <v>0</v>
      </c>
      <c r="K77" s="54">
        <v>0</v>
      </c>
      <c r="L77" s="54">
        <v>0</v>
      </c>
      <c r="M77" s="125">
        <v>20000</v>
      </c>
      <c r="N77" s="43">
        <v>7.9000000000000008E-3</v>
      </c>
      <c r="O77" s="126" t="s">
        <v>606</v>
      </c>
      <c r="P77" s="170">
        <v>4.9450000000000001E-2</v>
      </c>
      <c r="Q77" s="170" t="s">
        <v>829</v>
      </c>
      <c r="R77" s="193">
        <f>3037/20000</f>
        <v>0.15185000000000001</v>
      </c>
      <c r="S77" s="172" t="s">
        <v>879</v>
      </c>
      <c r="T77" s="115"/>
      <c r="U77" s="115"/>
    </row>
    <row r="78" spans="1:21" ht="126">
      <c r="A78" s="319"/>
      <c r="B78" s="365"/>
      <c r="C78" s="9" t="s">
        <v>279</v>
      </c>
      <c r="D78" s="124">
        <v>9.2499999999999995E-3</v>
      </c>
      <c r="E78" s="110" t="s">
        <v>112</v>
      </c>
      <c r="F78" s="125">
        <v>50</v>
      </c>
      <c r="G78" s="9" t="s">
        <v>280</v>
      </c>
      <c r="H78" s="108">
        <v>43101</v>
      </c>
      <c r="I78" s="110" t="s">
        <v>106</v>
      </c>
      <c r="J78" s="54">
        <v>0</v>
      </c>
      <c r="K78" s="54">
        <v>0</v>
      </c>
      <c r="L78" s="54">
        <v>0</v>
      </c>
      <c r="M78" s="125">
        <v>50</v>
      </c>
      <c r="N78" s="43">
        <v>0</v>
      </c>
      <c r="O78" s="126" t="s">
        <v>599</v>
      </c>
      <c r="P78" s="170">
        <v>0</v>
      </c>
      <c r="Q78" s="170" t="s">
        <v>830</v>
      </c>
      <c r="R78" s="193">
        <v>0</v>
      </c>
      <c r="S78" s="172" t="s">
        <v>880</v>
      </c>
      <c r="T78" s="115"/>
      <c r="U78" s="115"/>
    </row>
    <row r="79" spans="1:21" ht="178.5">
      <c r="A79" s="319"/>
      <c r="B79" s="365"/>
      <c r="C79" s="9" t="s">
        <v>281</v>
      </c>
      <c r="D79" s="124">
        <v>9.2499999999999995E-3</v>
      </c>
      <c r="E79" s="110" t="s">
        <v>112</v>
      </c>
      <c r="F79" s="125">
        <v>8100</v>
      </c>
      <c r="G79" s="9" t="s">
        <v>282</v>
      </c>
      <c r="H79" s="108">
        <v>43101</v>
      </c>
      <c r="I79" s="110" t="s">
        <v>106</v>
      </c>
      <c r="J79" s="54">
        <v>0</v>
      </c>
      <c r="K79" s="54">
        <v>0</v>
      </c>
      <c r="L79" s="54">
        <v>0</v>
      </c>
      <c r="M79" s="125">
        <v>8100</v>
      </c>
      <c r="N79" s="43">
        <v>0.71234567901234569</v>
      </c>
      <c r="O79" s="126" t="s">
        <v>607</v>
      </c>
      <c r="P79" s="170">
        <v>0.71234567901234569</v>
      </c>
      <c r="Q79" s="170" t="s">
        <v>831</v>
      </c>
      <c r="R79" s="193">
        <f>5948/8100</f>
        <v>0.73432098765432097</v>
      </c>
      <c r="S79" s="172" t="s">
        <v>881</v>
      </c>
      <c r="T79" s="115"/>
      <c r="U79" s="115"/>
    </row>
    <row r="80" spans="1:21">
      <c r="A80" s="76"/>
      <c r="B80" s="76"/>
      <c r="C80" s="76"/>
      <c r="D80" s="77">
        <f>SUM(D26:D79)</f>
        <v>0.49949999999999956</v>
      </c>
      <c r="E80" s="76"/>
      <c r="F80" s="59"/>
      <c r="G80" s="76"/>
      <c r="H80" s="76"/>
      <c r="I80" s="76"/>
      <c r="J80" s="76"/>
      <c r="K80" s="76"/>
      <c r="L80" s="76"/>
      <c r="M80" s="76"/>
      <c r="N80" s="72"/>
      <c r="O80" s="72"/>
      <c r="P80" s="72"/>
      <c r="Q80" s="72"/>
      <c r="R80" s="72"/>
      <c r="S80" s="72"/>
      <c r="T80" s="72"/>
      <c r="U80" s="72"/>
    </row>
    <row r="81" spans="1:21" ht="33.75">
      <c r="A81" s="316" t="s">
        <v>515</v>
      </c>
      <c r="B81" s="316"/>
      <c r="C81" s="316"/>
      <c r="D81" s="316"/>
      <c r="E81" s="316"/>
      <c r="F81" s="316"/>
      <c r="G81" s="316"/>
      <c r="H81" s="316"/>
      <c r="I81" s="316"/>
      <c r="J81" s="316"/>
      <c r="K81" s="316"/>
      <c r="L81" s="316"/>
      <c r="M81" s="316"/>
      <c r="N81" s="316"/>
      <c r="O81" s="316"/>
      <c r="P81" s="316"/>
      <c r="Q81" s="316"/>
      <c r="R81" s="316"/>
      <c r="S81" s="316"/>
      <c r="T81" s="316"/>
      <c r="U81" s="316"/>
    </row>
    <row r="82" spans="1:21" ht="18.75">
      <c r="A82" s="339" t="s">
        <v>103</v>
      </c>
      <c r="B82" s="339" t="s">
        <v>74</v>
      </c>
      <c r="C82" s="339" t="s">
        <v>65</v>
      </c>
      <c r="D82" s="339" t="s">
        <v>66</v>
      </c>
      <c r="E82" s="339" t="s">
        <v>67</v>
      </c>
      <c r="F82" s="340" t="s">
        <v>68</v>
      </c>
      <c r="G82" s="339" t="s">
        <v>69</v>
      </c>
      <c r="H82" s="341" t="s">
        <v>70</v>
      </c>
      <c r="I82" s="341"/>
      <c r="J82" s="341" t="s">
        <v>79</v>
      </c>
      <c r="K82" s="341"/>
      <c r="L82" s="341"/>
      <c r="M82" s="341"/>
      <c r="N82" s="331" t="s">
        <v>511</v>
      </c>
      <c r="O82" s="331"/>
      <c r="P82" s="331"/>
      <c r="Q82" s="331"/>
      <c r="R82" s="331"/>
      <c r="S82" s="331"/>
      <c r="T82" s="331"/>
      <c r="U82" s="331"/>
    </row>
    <row r="83" spans="1:21" ht="15.75">
      <c r="A83" s="339"/>
      <c r="B83" s="339"/>
      <c r="C83" s="339"/>
      <c r="D83" s="339"/>
      <c r="E83" s="339"/>
      <c r="F83" s="340"/>
      <c r="G83" s="339"/>
      <c r="H83" s="332" t="s">
        <v>71</v>
      </c>
      <c r="I83" s="332" t="s">
        <v>197</v>
      </c>
      <c r="J83" s="15" t="s">
        <v>75</v>
      </c>
      <c r="K83" s="15" t="s">
        <v>76</v>
      </c>
      <c r="L83" s="15" t="s">
        <v>77</v>
      </c>
      <c r="M83" s="15" t="s">
        <v>78</v>
      </c>
      <c r="N83" s="333" t="s">
        <v>75</v>
      </c>
      <c r="O83" s="333"/>
      <c r="P83" s="333" t="s">
        <v>76</v>
      </c>
      <c r="Q83" s="333"/>
      <c r="R83" s="333" t="s">
        <v>77</v>
      </c>
      <c r="S83" s="333"/>
      <c r="T83" s="333" t="s">
        <v>78</v>
      </c>
      <c r="U83" s="333"/>
    </row>
    <row r="84" spans="1:21" ht="31.5">
      <c r="A84" s="339"/>
      <c r="B84" s="339"/>
      <c r="C84" s="339"/>
      <c r="D84" s="339"/>
      <c r="E84" s="339"/>
      <c r="F84" s="340"/>
      <c r="G84" s="339"/>
      <c r="H84" s="332"/>
      <c r="I84" s="332"/>
      <c r="J84" s="101" t="s">
        <v>64</v>
      </c>
      <c r="K84" s="55" t="s">
        <v>64</v>
      </c>
      <c r="L84" s="55" t="s">
        <v>64</v>
      </c>
      <c r="M84" s="55" t="s">
        <v>64</v>
      </c>
      <c r="N84" s="185" t="s">
        <v>514</v>
      </c>
      <c r="O84" s="185" t="s">
        <v>513</v>
      </c>
      <c r="P84" s="185" t="s">
        <v>514</v>
      </c>
      <c r="Q84" s="185" t="s">
        <v>513</v>
      </c>
      <c r="R84" s="185" t="s">
        <v>514</v>
      </c>
      <c r="S84" s="185" t="s">
        <v>513</v>
      </c>
      <c r="T84" s="185" t="s">
        <v>514</v>
      </c>
      <c r="U84" s="185" t="s">
        <v>513</v>
      </c>
    </row>
    <row r="85" spans="1:21" ht="33.75">
      <c r="A85" s="316" t="s">
        <v>283</v>
      </c>
      <c r="B85" s="316"/>
      <c r="C85" s="316"/>
      <c r="D85" s="316"/>
      <c r="E85" s="316"/>
      <c r="F85" s="316"/>
      <c r="G85" s="316"/>
      <c r="H85" s="316"/>
      <c r="I85" s="316"/>
      <c r="J85" s="316"/>
      <c r="K85" s="316"/>
      <c r="L85" s="316"/>
      <c r="M85" s="316"/>
      <c r="N85" s="316"/>
      <c r="O85" s="316"/>
      <c r="P85" s="316"/>
      <c r="Q85" s="316"/>
      <c r="R85" s="316"/>
      <c r="S85" s="316"/>
      <c r="T85" s="316"/>
      <c r="U85" s="316"/>
    </row>
    <row r="86" spans="1:21" ht="25.5">
      <c r="A86" s="366" t="s">
        <v>199</v>
      </c>
      <c r="B86" s="354" t="s">
        <v>284</v>
      </c>
      <c r="C86" s="324" t="s">
        <v>285</v>
      </c>
      <c r="D86" s="334">
        <v>2.2700000000000001E-2</v>
      </c>
      <c r="E86" s="334" t="s">
        <v>112</v>
      </c>
      <c r="F86" s="336">
        <v>590</v>
      </c>
      <c r="G86" s="56" t="s">
        <v>286</v>
      </c>
      <c r="H86" s="367">
        <v>43101</v>
      </c>
      <c r="I86" s="367" t="s">
        <v>106</v>
      </c>
      <c r="J86" s="334"/>
      <c r="K86" s="334"/>
      <c r="L86" s="334"/>
      <c r="M86" s="336">
        <v>590</v>
      </c>
      <c r="N86" s="346">
        <f>400/M86</f>
        <v>0.67796610169491522</v>
      </c>
      <c r="O86" s="335" t="s">
        <v>588</v>
      </c>
      <c r="P86" s="334">
        <v>0.79149999999999998</v>
      </c>
      <c r="Q86" s="335" t="s">
        <v>747</v>
      </c>
      <c r="R86" s="342">
        <f>1207/M86</f>
        <v>2.0457627118644068</v>
      </c>
      <c r="S86" s="344" t="s">
        <v>882</v>
      </c>
      <c r="T86" s="334"/>
      <c r="U86" s="336"/>
    </row>
    <row r="87" spans="1:21" ht="25.5">
      <c r="A87" s="366"/>
      <c r="B87" s="354"/>
      <c r="C87" s="324"/>
      <c r="D87" s="324"/>
      <c r="E87" s="324"/>
      <c r="F87" s="336"/>
      <c r="G87" s="56" t="s">
        <v>287</v>
      </c>
      <c r="H87" s="367"/>
      <c r="I87" s="367" t="s">
        <v>106</v>
      </c>
      <c r="J87" s="324"/>
      <c r="K87" s="324"/>
      <c r="L87" s="324"/>
      <c r="M87" s="336"/>
      <c r="N87" s="347"/>
      <c r="O87" s="364"/>
      <c r="P87" s="324"/>
      <c r="Q87" s="364"/>
      <c r="R87" s="343"/>
      <c r="S87" s="345"/>
      <c r="T87" s="324"/>
      <c r="U87" s="336"/>
    </row>
    <row r="88" spans="1:21" ht="25.5">
      <c r="A88" s="366"/>
      <c r="B88" s="354"/>
      <c r="C88" s="324"/>
      <c r="D88" s="324"/>
      <c r="E88" s="324"/>
      <c r="F88" s="336"/>
      <c r="G88" s="56" t="s">
        <v>288</v>
      </c>
      <c r="H88" s="367"/>
      <c r="I88" s="367" t="s">
        <v>106</v>
      </c>
      <c r="J88" s="324"/>
      <c r="K88" s="324"/>
      <c r="L88" s="324"/>
      <c r="M88" s="336"/>
      <c r="N88" s="347"/>
      <c r="O88" s="364"/>
      <c r="P88" s="324"/>
      <c r="Q88" s="364"/>
      <c r="R88" s="343"/>
      <c r="S88" s="345"/>
      <c r="T88" s="324"/>
      <c r="U88" s="336"/>
    </row>
    <row r="89" spans="1:21">
      <c r="A89" s="366"/>
      <c r="B89" s="354"/>
      <c r="C89" s="324"/>
      <c r="D89" s="324"/>
      <c r="E89" s="324"/>
      <c r="F89" s="336"/>
      <c r="G89" s="56" t="s">
        <v>289</v>
      </c>
      <c r="H89" s="367"/>
      <c r="I89" s="367" t="s">
        <v>106</v>
      </c>
      <c r="J89" s="324"/>
      <c r="K89" s="324"/>
      <c r="L89" s="324"/>
      <c r="M89" s="336"/>
      <c r="N89" s="347"/>
      <c r="O89" s="364"/>
      <c r="P89" s="324"/>
      <c r="Q89" s="364"/>
      <c r="R89" s="343"/>
      <c r="S89" s="345"/>
      <c r="T89" s="324"/>
      <c r="U89" s="336"/>
    </row>
    <row r="90" spans="1:21" ht="102">
      <c r="A90" s="366"/>
      <c r="B90" s="56" t="s">
        <v>290</v>
      </c>
      <c r="C90" s="57" t="s">
        <v>291</v>
      </c>
      <c r="D90" s="58">
        <v>2.2700000000000001E-2</v>
      </c>
      <c r="E90" s="57" t="s">
        <v>112</v>
      </c>
      <c r="F90" s="59">
        <v>20000</v>
      </c>
      <c r="G90" s="56" t="s">
        <v>292</v>
      </c>
      <c r="H90" s="23">
        <v>43101</v>
      </c>
      <c r="I90" s="23" t="s">
        <v>106</v>
      </c>
      <c r="J90" s="109"/>
      <c r="K90" s="58"/>
      <c r="L90" s="58"/>
      <c r="M90" s="59">
        <v>20000</v>
      </c>
      <c r="N90" s="129">
        <f>158/M90</f>
        <v>7.9000000000000008E-3</v>
      </c>
      <c r="O90" s="130" t="s">
        <v>606</v>
      </c>
      <c r="P90" s="148">
        <v>0.1487</v>
      </c>
      <c r="Q90" s="149" t="s">
        <v>748</v>
      </c>
      <c r="R90" s="174">
        <f>3705/M90</f>
        <v>0.18525</v>
      </c>
      <c r="S90" s="175" t="s">
        <v>883</v>
      </c>
      <c r="T90" s="58"/>
      <c r="U90" s="59"/>
    </row>
    <row r="91" spans="1:21" ht="102">
      <c r="A91" s="366"/>
      <c r="B91" s="56" t="s">
        <v>293</v>
      </c>
      <c r="C91" s="57" t="s">
        <v>294</v>
      </c>
      <c r="D91" s="58">
        <v>2.2700000000000001E-2</v>
      </c>
      <c r="E91" s="57" t="s">
        <v>112</v>
      </c>
      <c r="F91" s="59">
        <v>132384</v>
      </c>
      <c r="G91" s="56" t="s">
        <v>295</v>
      </c>
      <c r="H91" s="23">
        <v>43101</v>
      </c>
      <c r="I91" s="23" t="s">
        <v>106</v>
      </c>
      <c r="J91" s="109"/>
      <c r="K91" s="58"/>
      <c r="L91" s="58"/>
      <c r="M91" s="59">
        <v>132384</v>
      </c>
      <c r="N91" s="129">
        <f>44919/M91</f>
        <v>0.33930837563451777</v>
      </c>
      <c r="O91" s="130" t="s">
        <v>608</v>
      </c>
      <c r="P91" s="148">
        <v>0.35759999999999997</v>
      </c>
      <c r="Q91" s="149" t="s">
        <v>749</v>
      </c>
      <c r="R91" s="174">
        <f>88657/M91</f>
        <v>0.66969573362339863</v>
      </c>
      <c r="S91" s="175" t="s">
        <v>884</v>
      </c>
      <c r="T91" s="58"/>
      <c r="U91" s="59"/>
    </row>
    <row r="92" spans="1:21">
      <c r="A92" s="366"/>
      <c r="B92" s="354" t="s">
        <v>296</v>
      </c>
      <c r="C92" s="324" t="s">
        <v>297</v>
      </c>
      <c r="D92" s="334">
        <v>2.2700000000000001E-2</v>
      </c>
      <c r="E92" s="324" t="s">
        <v>112</v>
      </c>
      <c r="F92" s="336">
        <v>10</v>
      </c>
      <c r="G92" s="56" t="s">
        <v>298</v>
      </c>
      <c r="H92" s="367">
        <v>43101</v>
      </c>
      <c r="I92" s="367" t="s">
        <v>106</v>
      </c>
      <c r="J92" s="334"/>
      <c r="K92" s="334"/>
      <c r="L92" s="334"/>
      <c r="M92" s="336">
        <v>10</v>
      </c>
      <c r="N92" s="346">
        <v>0</v>
      </c>
      <c r="O92" s="335" t="s">
        <v>609</v>
      </c>
      <c r="P92" s="334">
        <v>0.7</v>
      </c>
      <c r="Q92" s="335" t="s">
        <v>750</v>
      </c>
      <c r="R92" s="342">
        <f>24/M92</f>
        <v>2.4</v>
      </c>
      <c r="S92" s="344" t="s">
        <v>885</v>
      </c>
      <c r="T92" s="334"/>
      <c r="U92" s="336"/>
    </row>
    <row r="93" spans="1:21">
      <c r="A93" s="366"/>
      <c r="B93" s="354"/>
      <c r="C93" s="324"/>
      <c r="D93" s="334"/>
      <c r="E93" s="324"/>
      <c r="F93" s="336"/>
      <c r="G93" s="56" t="s">
        <v>299</v>
      </c>
      <c r="H93" s="367"/>
      <c r="I93" s="367" t="s">
        <v>106</v>
      </c>
      <c r="J93" s="334"/>
      <c r="K93" s="334"/>
      <c r="L93" s="334"/>
      <c r="M93" s="336"/>
      <c r="N93" s="346"/>
      <c r="O93" s="335"/>
      <c r="P93" s="334"/>
      <c r="Q93" s="335"/>
      <c r="R93" s="342"/>
      <c r="S93" s="344"/>
      <c r="T93" s="334"/>
      <c r="U93" s="336"/>
    </row>
    <row r="94" spans="1:21" ht="114.75">
      <c r="A94" s="366"/>
      <c r="B94" s="56" t="s">
        <v>300</v>
      </c>
      <c r="C94" s="56" t="s">
        <v>301</v>
      </c>
      <c r="D94" s="58">
        <v>2.2700000000000001E-2</v>
      </c>
      <c r="E94" s="57" t="s">
        <v>112</v>
      </c>
      <c r="F94" s="59">
        <v>3948</v>
      </c>
      <c r="G94" s="56" t="s">
        <v>301</v>
      </c>
      <c r="H94" s="23">
        <v>43101</v>
      </c>
      <c r="I94" s="23" t="s">
        <v>106</v>
      </c>
      <c r="J94" s="109"/>
      <c r="K94" s="58"/>
      <c r="L94" s="58"/>
      <c r="M94" s="59">
        <v>3948</v>
      </c>
      <c r="N94" s="129">
        <f>26/M94</f>
        <v>6.5856129685916923E-3</v>
      </c>
      <c r="O94" s="130" t="s">
        <v>587</v>
      </c>
      <c r="P94" s="148">
        <v>0.21659999999999999</v>
      </c>
      <c r="Q94" s="149" t="s">
        <v>751</v>
      </c>
      <c r="R94" s="174">
        <f>970/M94</f>
        <v>0.24569402228976697</v>
      </c>
      <c r="S94" s="175" t="s">
        <v>886</v>
      </c>
      <c r="T94" s="58"/>
      <c r="U94" s="59"/>
    </row>
    <row r="95" spans="1:21" ht="51">
      <c r="A95" s="366"/>
      <c r="B95" s="56" t="s">
        <v>302</v>
      </c>
      <c r="C95" s="57" t="s">
        <v>303</v>
      </c>
      <c r="D95" s="58">
        <v>2.2700000000000001E-2</v>
      </c>
      <c r="E95" s="57" t="s">
        <v>112</v>
      </c>
      <c r="F95" s="59">
        <v>12855</v>
      </c>
      <c r="G95" s="56" t="s">
        <v>304</v>
      </c>
      <c r="H95" s="23">
        <v>43101</v>
      </c>
      <c r="I95" s="23" t="s">
        <v>106</v>
      </c>
      <c r="J95" s="109"/>
      <c r="K95" s="58"/>
      <c r="L95" s="58"/>
      <c r="M95" s="59">
        <v>12855</v>
      </c>
      <c r="N95" s="129">
        <f>3168/M95</f>
        <v>0.24644107351225203</v>
      </c>
      <c r="O95" s="130" t="s">
        <v>602</v>
      </c>
      <c r="P95" s="148">
        <v>0.2878</v>
      </c>
      <c r="Q95" s="149" t="s">
        <v>752</v>
      </c>
      <c r="R95" s="174">
        <f>6492/M95</f>
        <v>0.50501750291715286</v>
      </c>
      <c r="S95" s="175" t="s">
        <v>887</v>
      </c>
      <c r="T95" s="58"/>
      <c r="U95" s="59"/>
    </row>
    <row r="96" spans="1:21" ht="153">
      <c r="A96" s="366"/>
      <c r="B96" s="56" t="s">
        <v>305</v>
      </c>
      <c r="C96" s="56" t="s">
        <v>301</v>
      </c>
      <c r="D96" s="58">
        <v>2.2700000000000001E-2</v>
      </c>
      <c r="E96" s="57" t="s">
        <v>112</v>
      </c>
      <c r="F96" s="59">
        <v>3944</v>
      </c>
      <c r="G96" s="56" t="s">
        <v>306</v>
      </c>
      <c r="H96" s="23">
        <v>43101</v>
      </c>
      <c r="I96" s="23" t="s">
        <v>106</v>
      </c>
      <c r="J96" s="109"/>
      <c r="K96" s="58"/>
      <c r="L96" s="58"/>
      <c r="M96" s="59">
        <v>3944</v>
      </c>
      <c r="N96" s="129">
        <v>0</v>
      </c>
      <c r="O96" s="130" t="s">
        <v>591</v>
      </c>
      <c r="P96" s="148">
        <v>0</v>
      </c>
      <c r="Q96" s="149" t="s">
        <v>753</v>
      </c>
      <c r="R96" s="174">
        <v>0</v>
      </c>
      <c r="S96" s="175" t="s">
        <v>888</v>
      </c>
      <c r="T96" s="58"/>
      <c r="U96" s="59"/>
    </row>
    <row r="97" spans="1:21" ht="63.75">
      <c r="A97" s="366"/>
      <c r="B97" s="56" t="s">
        <v>307</v>
      </c>
      <c r="C97" s="57" t="s">
        <v>303</v>
      </c>
      <c r="D97" s="58">
        <v>2.2700000000000001E-2</v>
      </c>
      <c r="E97" s="57" t="s">
        <v>112</v>
      </c>
      <c r="F97" s="59">
        <v>16574</v>
      </c>
      <c r="G97" s="56" t="s">
        <v>308</v>
      </c>
      <c r="H97" s="23">
        <v>43101</v>
      </c>
      <c r="I97" s="23" t="s">
        <v>106</v>
      </c>
      <c r="J97" s="109"/>
      <c r="K97" s="58"/>
      <c r="L97" s="58"/>
      <c r="M97" s="59">
        <v>16574</v>
      </c>
      <c r="N97" s="129">
        <f>5525/M97</f>
        <v>0.33335344515506216</v>
      </c>
      <c r="O97" s="130" t="s">
        <v>593</v>
      </c>
      <c r="P97" s="148">
        <v>0.3967</v>
      </c>
      <c r="Q97" s="149" t="s">
        <v>754</v>
      </c>
      <c r="R97" s="174">
        <f>11239/M97</f>
        <v>0.67811029323036076</v>
      </c>
      <c r="S97" s="175" t="s">
        <v>889</v>
      </c>
      <c r="T97" s="58"/>
      <c r="U97" s="59"/>
    </row>
    <row r="98" spans="1:21">
      <c r="A98" s="366"/>
      <c r="B98" s="354" t="s">
        <v>309</v>
      </c>
      <c r="C98" s="354" t="s">
        <v>301</v>
      </c>
      <c r="D98" s="334">
        <v>2.2700000000000001E-2</v>
      </c>
      <c r="E98" s="324" t="s">
        <v>112</v>
      </c>
      <c r="F98" s="336">
        <v>5</v>
      </c>
      <c r="G98" s="56" t="s">
        <v>306</v>
      </c>
      <c r="H98" s="367">
        <v>43101</v>
      </c>
      <c r="I98" s="367" t="s">
        <v>106</v>
      </c>
      <c r="J98" s="334"/>
      <c r="K98" s="334"/>
      <c r="L98" s="334"/>
      <c r="M98" s="336">
        <v>5</v>
      </c>
      <c r="N98" s="346">
        <v>0</v>
      </c>
      <c r="O98" s="335" t="s">
        <v>592</v>
      </c>
      <c r="P98" s="334">
        <v>1</v>
      </c>
      <c r="Q98" s="335" t="s">
        <v>755</v>
      </c>
      <c r="R98" s="342">
        <f>10/M98</f>
        <v>2</v>
      </c>
      <c r="S98" s="344" t="s">
        <v>890</v>
      </c>
      <c r="T98" s="334"/>
      <c r="U98" s="336"/>
    </row>
    <row r="99" spans="1:21">
      <c r="A99" s="366"/>
      <c r="B99" s="354"/>
      <c r="C99" s="354"/>
      <c r="D99" s="334"/>
      <c r="E99" s="354"/>
      <c r="F99" s="336"/>
      <c r="G99" s="56" t="s">
        <v>289</v>
      </c>
      <c r="H99" s="367"/>
      <c r="I99" s="367" t="s">
        <v>106</v>
      </c>
      <c r="J99" s="334"/>
      <c r="K99" s="334"/>
      <c r="L99" s="334"/>
      <c r="M99" s="336"/>
      <c r="N99" s="346"/>
      <c r="O99" s="335"/>
      <c r="P99" s="334"/>
      <c r="Q99" s="335"/>
      <c r="R99" s="342"/>
      <c r="S99" s="344"/>
      <c r="T99" s="334"/>
      <c r="U99" s="336"/>
    </row>
    <row r="100" spans="1:21" ht="51">
      <c r="A100" s="366"/>
      <c r="B100" s="56" t="s">
        <v>310</v>
      </c>
      <c r="C100" s="57" t="s">
        <v>311</v>
      </c>
      <c r="D100" s="58">
        <v>2.2700000000000001E-2</v>
      </c>
      <c r="E100" s="57" t="s">
        <v>112</v>
      </c>
      <c r="F100" s="59">
        <v>13161</v>
      </c>
      <c r="G100" s="56" t="s">
        <v>312</v>
      </c>
      <c r="H100" s="23">
        <v>43101</v>
      </c>
      <c r="I100" s="23" t="s">
        <v>106</v>
      </c>
      <c r="J100" s="109"/>
      <c r="K100" s="58"/>
      <c r="L100" s="58"/>
      <c r="M100" s="59">
        <v>13161</v>
      </c>
      <c r="N100" s="131">
        <f>801/M100</f>
        <v>6.0861636653749718E-2</v>
      </c>
      <c r="O100" s="130" t="s">
        <v>610</v>
      </c>
      <c r="P100" s="148">
        <v>0.315</v>
      </c>
      <c r="Q100" s="149" t="s">
        <v>756</v>
      </c>
      <c r="R100" s="174">
        <f>5026/M100</f>
        <v>0.38188587493351567</v>
      </c>
      <c r="S100" s="175" t="s">
        <v>891</v>
      </c>
      <c r="T100" s="58"/>
      <c r="U100" s="59"/>
    </row>
    <row r="101" spans="1:21">
      <c r="A101" s="366"/>
      <c r="B101" s="354" t="s">
        <v>313</v>
      </c>
      <c r="C101" s="324" t="s">
        <v>291</v>
      </c>
      <c r="D101" s="334">
        <v>2.2700000000000001E-2</v>
      </c>
      <c r="E101" s="324" t="s">
        <v>112</v>
      </c>
      <c r="F101" s="336">
        <v>783</v>
      </c>
      <c r="G101" s="56" t="s">
        <v>292</v>
      </c>
      <c r="H101" s="367">
        <v>43101</v>
      </c>
      <c r="I101" s="367" t="s">
        <v>106</v>
      </c>
      <c r="J101" s="334"/>
      <c r="K101" s="334"/>
      <c r="L101" s="334"/>
      <c r="M101" s="336">
        <v>783</v>
      </c>
      <c r="N101" s="346">
        <v>0</v>
      </c>
      <c r="O101" s="335" t="s">
        <v>611</v>
      </c>
      <c r="P101" s="334">
        <v>6.2600000000000003E-2</v>
      </c>
      <c r="Q101" s="335" t="s">
        <v>757</v>
      </c>
      <c r="R101" s="334">
        <f>79/M101</f>
        <v>0.10089399744572158</v>
      </c>
      <c r="S101" s="335" t="s">
        <v>892</v>
      </c>
      <c r="T101" s="334"/>
      <c r="U101" s="336"/>
    </row>
    <row r="102" spans="1:21" ht="25.5">
      <c r="A102" s="366"/>
      <c r="B102" s="354"/>
      <c r="C102" s="324"/>
      <c r="D102" s="334"/>
      <c r="E102" s="324"/>
      <c r="F102" s="336"/>
      <c r="G102" s="56" t="s">
        <v>314</v>
      </c>
      <c r="H102" s="367"/>
      <c r="I102" s="367" t="s">
        <v>106</v>
      </c>
      <c r="J102" s="334"/>
      <c r="K102" s="334"/>
      <c r="L102" s="334"/>
      <c r="M102" s="336"/>
      <c r="N102" s="346"/>
      <c r="O102" s="335"/>
      <c r="P102" s="334"/>
      <c r="Q102" s="335"/>
      <c r="R102" s="334"/>
      <c r="S102" s="335"/>
      <c r="T102" s="334"/>
      <c r="U102" s="336"/>
    </row>
    <row r="103" spans="1:21">
      <c r="A103" s="366"/>
      <c r="B103" s="354"/>
      <c r="C103" s="324"/>
      <c r="D103" s="334"/>
      <c r="E103" s="324"/>
      <c r="F103" s="336"/>
      <c r="G103" s="56" t="s">
        <v>315</v>
      </c>
      <c r="H103" s="367"/>
      <c r="I103" s="367" t="s">
        <v>106</v>
      </c>
      <c r="J103" s="334"/>
      <c r="K103" s="334"/>
      <c r="L103" s="334"/>
      <c r="M103" s="336"/>
      <c r="N103" s="346"/>
      <c r="O103" s="335"/>
      <c r="P103" s="334"/>
      <c r="Q103" s="335"/>
      <c r="R103" s="334"/>
      <c r="S103" s="335"/>
      <c r="T103" s="334"/>
      <c r="U103" s="336"/>
    </row>
    <row r="104" spans="1:21" ht="38.25">
      <c r="A104" s="366"/>
      <c r="B104" s="56" t="s">
        <v>316</v>
      </c>
      <c r="C104" s="57" t="s">
        <v>317</v>
      </c>
      <c r="D104" s="58">
        <v>2.2700000000000001E-2</v>
      </c>
      <c r="E104" s="57" t="s">
        <v>112</v>
      </c>
      <c r="F104" s="59">
        <v>3351</v>
      </c>
      <c r="G104" s="56" t="s">
        <v>318</v>
      </c>
      <c r="H104" s="23">
        <v>43101</v>
      </c>
      <c r="I104" s="23" t="s">
        <v>106</v>
      </c>
      <c r="J104" s="109"/>
      <c r="K104" s="58"/>
      <c r="L104" s="58"/>
      <c r="M104" s="59">
        <v>3351</v>
      </c>
      <c r="N104" s="129">
        <f>291/M104</f>
        <v>8.6839749328558632E-2</v>
      </c>
      <c r="O104" s="130" t="s">
        <v>612</v>
      </c>
      <c r="P104" s="148">
        <v>9.3700000000000006E-2</v>
      </c>
      <c r="Q104" s="149" t="s">
        <v>758</v>
      </c>
      <c r="R104" s="174">
        <f>782/M104</f>
        <v>0.23336317517159058</v>
      </c>
      <c r="S104" s="175" t="s">
        <v>893</v>
      </c>
      <c r="T104" s="58"/>
      <c r="U104" s="59"/>
    </row>
    <row r="105" spans="1:21">
      <c r="A105" s="366"/>
      <c r="B105" s="354" t="s">
        <v>319</v>
      </c>
      <c r="C105" s="354" t="s">
        <v>320</v>
      </c>
      <c r="D105" s="334">
        <v>2.2700000000000001E-2</v>
      </c>
      <c r="E105" s="324" t="s">
        <v>112</v>
      </c>
      <c r="F105" s="336">
        <v>20</v>
      </c>
      <c r="G105" s="56" t="s">
        <v>320</v>
      </c>
      <c r="H105" s="367">
        <v>43101</v>
      </c>
      <c r="I105" s="367" t="s">
        <v>106</v>
      </c>
      <c r="J105" s="334"/>
      <c r="K105" s="334"/>
      <c r="L105" s="334"/>
      <c r="M105" s="336">
        <v>20</v>
      </c>
      <c r="N105" s="346">
        <v>0</v>
      </c>
      <c r="O105" s="335" t="s">
        <v>600</v>
      </c>
      <c r="P105" s="334">
        <v>0</v>
      </c>
      <c r="Q105" s="335" t="s">
        <v>759</v>
      </c>
      <c r="R105" s="334">
        <v>0</v>
      </c>
      <c r="S105" s="335" t="s">
        <v>894</v>
      </c>
      <c r="T105" s="334"/>
      <c r="U105" s="336"/>
    </row>
    <row r="106" spans="1:21">
      <c r="A106" s="366"/>
      <c r="B106" s="354"/>
      <c r="C106" s="354"/>
      <c r="D106" s="334"/>
      <c r="E106" s="354"/>
      <c r="F106" s="336"/>
      <c r="G106" s="56" t="s">
        <v>321</v>
      </c>
      <c r="H106" s="367"/>
      <c r="I106" s="367" t="s">
        <v>106</v>
      </c>
      <c r="J106" s="334"/>
      <c r="K106" s="334"/>
      <c r="L106" s="334"/>
      <c r="M106" s="336"/>
      <c r="N106" s="346"/>
      <c r="O106" s="335"/>
      <c r="P106" s="334"/>
      <c r="Q106" s="335"/>
      <c r="R106" s="334"/>
      <c r="S106" s="335"/>
      <c r="T106" s="334"/>
      <c r="U106" s="336"/>
    </row>
    <row r="107" spans="1:21" ht="76.5">
      <c r="A107" s="366"/>
      <c r="B107" s="56" t="s">
        <v>322</v>
      </c>
      <c r="C107" s="57" t="s">
        <v>323</v>
      </c>
      <c r="D107" s="58">
        <v>2.2700000000000001E-2</v>
      </c>
      <c r="E107" s="57" t="s">
        <v>112</v>
      </c>
      <c r="F107" s="59">
        <v>1</v>
      </c>
      <c r="G107" s="56" t="s">
        <v>324</v>
      </c>
      <c r="H107" s="23">
        <v>43101</v>
      </c>
      <c r="I107" s="23" t="s">
        <v>106</v>
      </c>
      <c r="J107" s="109"/>
      <c r="K107" s="58"/>
      <c r="L107" s="58"/>
      <c r="M107" s="59">
        <v>1</v>
      </c>
      <c r="N107" s="129">
        <v>0</v>
      </c>
      <c r="O107" s="130" t="s">
        <v>586</v>
      </c>
      <c r="P107" s="148">
        <v>0</v>
      </c>
      <c r="Q107" s="149" t="s">
        <v>760</v>
      </c>
      <c r="R107" s="174">
        <v>0</v>
      </c>
      <c r="S107" s="175" t="s">
        <v>895</v>
      </c>
      <c r="T107" s="58"/>
      <c r="U107" s="59"/>
    </row>
    <row r="108" spans="1:21" ht="25.5">
      <c r="A108" s="366"/>
      <c r="B108" s="354" t="s">
        <v>281</v>
      </c>
      <c r="C108" s="324" t="s">
        <v>325</v>
      </c>
      <c r="D108" s="334">
        <v>2.2700000000000001E-2</v>
      </c>
      <c r="E108" s="324" t="s">
        <v>112</v>
      </c>
      <c r="F108" s="336">
        <v>8100</v>
      </c>
      <c r="G108" s="56" t="s">
        <v>326</v>
      </c>
      <c r="H108" s="367">
        <v>43101</v>
      </c>
      <c r="I108" s="367" t="s">
        <v>106</v>
      </c>
      <c r="J108" s="334"/>
      <c r="K108" s="334"/>
      <c r="L108" s="334"/>
      <c r="M108" s="336">
        <v>8100</v>
      </c>
      <c r="N108" s="346">
        <f>5770/M108</f>
        <v>0.71234567901234569</v>
      </c>
      <c r="O108" s="335" t="s">
        <v>607</v>
      </c>
      <c r="P108" s="334">
        <v>0.73429999999999995</v>
      </c>
      <c r="Q108" s="335" t="s">
        <v>761</v>
      </c>
      <c r="R108" s="334">
        <f>7149/M108</f>
        <v>0.8825925925925926</v>
      </c>
      <c r="S108" s="335" t="s">
        <v>896</v>
      </c>
      <c r="T108" s="334"/>
      <c r="U108" s="336"/>
    </row>
    <row r="109" spans="1:21" ht="25.5">
      <c r="A109" s="366"/>
      <c r="B109" s="354"/>
      <c r="C109" s="324"/>
      <c r="D109" s="334"/>
      <c r="E109" s="324"/>
      <c r="F109" s="336"/>
      <c r="G109" s="56" t="s">
        <v>327</v>
      </c>
      <c r="H109" s="367"/>
      <c r="I109" s="367" t="s">
        <v>106</v>
      </c>
      <c r="J109" s="334"/>
      <c r="K109" s="334"/>
      <c r="L109" s="334"/>
      <c r="M109" s="336"/>
      <c r="N109" s="346"/>
      <c r="O109" s="335"/>
      <c r="P109" s="334"/>
      <c r="Q109" s="335"/>
      <c r="R109" s="334"/>
      <c r="S109" s="335"/>
      <c r="T109" s="334"/>
      <c r="U109" s="336"/>
    </row>
    <row r="110" spans="1:21">
      <c r="A110" s="366"/>
      <c r="B110" s="354"/>
      <c r="C110" s="324"/>
      <c r="D110" s="334"/>
      <c r="E110" s="324"/>
      <c r="F110" s="336"/>
      <c r="G110" s="56" t="s">
        <v>328</v>
      </c>
      <c r="H110" s="367"/>
      <c r="I110" s="367" t="s">
        <v>106</v>
      </c>
      <c r="J110" s="334"/>
      <c r="K110" s="334"/>
      <c r="L110" s="334"/>
      <c r="M110" s="336"/>
      <c r="N110" s="346"/>
      <c r="O110" s="335"/>
      <c r="P110" s="334"/>
      <c r="Q110" s="335"/>
      <c r="R110" s="334"/>
      <c r="S110" s="335"/>
      <c r="T110" s="334"/>
      <c r="U110" s="336"/>
    </row>
    <row r="111" spans="1:21" ht="25.5">
      <c r="A111" s="366"/>
      <c r="B111" s="354"/>
      <c r="C111" s="324"/>
      <c r="D111" s="334"/>
      <c r="E111" s="324"/>
      <c r="F111" s="336"/>
      <c r="G111" s="56" t="s">
        <v>329</v>
      </c>
      <c r="H111" s="367"/>
      <c r="I111" s="367" t="s">
        <v>106</v>
      </c>
      <c r="J111" s="334"/>
      <c r="K111" s="334"/>
      <c r="L111" s="334"/>
      <c r="M111" s="336"/>
      <c r="N111" s="346"/>
      <c r="O111" s="335"/>
      <c r="P111" s="334"/>
      <c r="Q111" s="335"/>
      <c r="R111" s="334"/>
      <c r="S111" s="335"/>
      <c r="T111" s="334"/>
      <c r="U111" s="336"/>
    </row>
    <row r="112" spans="1:21" ht="114.75">
      <c r="A112" s="366"/>
      <c r="B112" s="56" t="s">
        <v>330</v>
      </c>
      <c r="C112" s="57" t="s">
        <v>331</v>
      </c>
      <c r="D112" s="58">
        <v>2.2700000000000001E-2</v>
      </c>
      <c r="E112" s="57" t="s">
        <v>112</v>
      </c>
      <c r="F112" s="59">
        <v>500</v>
      </c>
      <c r="G112" s="56" t="s">
        <v>332</v>
      </c>
      <c r="H112" s="23">
        <v>43101</v>
      </c>
      <c r="I112" s="23" t="s">
        <v>106</v>
      </c>
      <c r="J112" s="109"/>
      <c r="K112" s="58"/>
      <c r="L112" s="58"/>
      <c r="M112" s="59">
        <v>500</v>
      </c>
      <c r="N112" s="129">
        <v>0</v>
      </c>
      <c r="O112" s="130" t="s">
        <v>613</v>
      </c>
      <c r="P112" s="148">
        <v>0</v>
      </c>
      <c r="Q112" s="149" t="s">
        <v>762</v>
      </c>
      <c r="R112" s="174">
        <v>0</v>
      </c>
      <c r="S112" s="175" t="s">
        <v>897</v>
      </c>
      <c r="T112" s="58"/>
      <c r="U112" s="59"/>
    </row>
    <row r="113" spans="1:21" ht="38.25">
      <c r="A113" s="366"/>
      <c r="B113" s="56" t="s">
        <v>333</v>
      </c>
      <c r="C113" s="57" t="s">
        <v>334</v>
      </c>
      <c r="D113" s="58">
        <v>2.2700000000000001E-2</v>
      </c>
      <c r="E113" s="57" t="s">
        <v>112</v>
      </c>
      <c r="F113" s="59">
        <v>6422</v>
      </c>
      <c r="G113" s="56" t="s">
        <v>335</v>
      </c>
      <c r="H113" s="23">
        <v>43101</v>
      </c>
      <c r="I113" s="23" t="s">
        <v>106</v>
      </c>
      <c r="J113" s="109"/>
      <c r="K113" s="58"/>
      <c r="L113" s="58"/>
      <c r="M113" s="59">
        <v>6422</v>
      </c>
      <c r="N113" s="129">
        <f>677/M113</f>
        <v>0.10541887262535035</v>
      </c>
      <c r="O113" s="130" t="s">
        <v>598</v>
      </c>
      <c r="P113" s="148">
        <v>0.1123</v>
      </c>
      <c r="Q113" s="149" t="s">
        <v>763</v>
      </c>
      <c r="R113" s="174">
        <f>3617/M113</f>
        <v>0.56322018062908752</v>
      </c>
      <c r="S113" s="175" t="s">
        <v>898</v>
      </c>
      <c r="T113" s="58"/>
      <c r="U113" s="59"/>
    </row>
    <row r="114" spans="1:21" ht="76.5">
      <c r="A114" s="366"/>
      <c r="B114" s="56" t="s">
        <v>336</v>
      </c>
      <c r="C114" s="57" t="s">
        <v>337</v>
      </c>
      <c r="D114" s="58">
        <v>2.2700000000000001E-2</v>
      </c>
      <c r="E114" s="57" t="s">
        <v>112</v>
      </c>
      <c r="F114" s="59">
        <v>350</v>
      </c>
      <c r="G114" s="56" t="s">
        <v>338</v>
      </c>
      <c r="H114" s="23">
        <v>43101</v>
      </c>
      <c r="I114" s="23" t="s">
        <v>106</v>
      </c>
      <c r="J114" s="109"/>
      <c r="K114" s="58"/>
      <c r="L114" s="58"/>
      <c r="M114" s="59">
        <v>350</v>
      </c>
      <c r="N114" s="129">
        <v>0</v>
      </c>
      <c r="O114" s="130" t="s">
        <v>595</v>
      </c>
      <c r="P114" s="148">
        <v>0.1086</v>
      </c>
      <c r="Q114" s="149" t="s">
        <v>764</v>
      </c>
      <c r="R114" s="174">
        <f>83/M114</f>
        <v>0.23714285714285716</v>
      </c>
      <c r="S114" s="175" t="s">
        <v>899</v>
      </c>
      <c r="T114" s="58"/>
      <c r="U114" s="59"/>
    </row>
    <row r="115" spans="1:21" ht="63.75">
      <c r="A115" s="366"/>
      <c r="B115" s="56" t="s">
        <v>339</v>
      </c>
      <c r="C115" s="57" t="s">
        <v>340</v>
      </c>
      <c r="D115" s="58">
        <v>2.2700000000000001E-2</v>
      </c>
      <c r="E115" s="57" t="s">
        <v>112</v>
      </c>
      <c r="F115" s="59">
        <v>20000</v>
      </c>
      <c r="G115" s="56" t="s">
        <v>341</v>
      </c>
      <c r="H115" s="23">
        <v>43101</v>
      </c>
      <c r="I115" s="23" t="s">
        <v>106</v>
      </c>
      <c r="J115" s="109"/>
      <c r="K115" s="58"/>
      <c r="L115" s="58"/>
      <c r="M115" s="59">
        <v>20000</v>
      </c>
      <c r="N115" s="129">
        <f>2337/M115</f>
        <v>0.11685</v>
      </c>
      <c r="O115" s="130" t="s">
        <v>589</v>
      </c>
      <c r="P115" s="148">
        <v>0.18429999999999999</v>
      </c>
      <c r="Q115" s="149" t="s">
        <v>765</v>
      </c>
      <c r="R115" s="174">
        <f>10398/M115</f>
        <v>0.51990000000000003</v>
      </c>
      <c r="S115" s="175" t="s">
        <v>900</v>
      </c>
      <c r="T115" s="58"/>
      <c r="U115" s="59"/>
    </row>
    <row r="116" spans="1:21" ht="51">
      <c r="A116" s="366"/>
      <c r="B116" s="56" t="s">
        <v>342</v>
      </c>
      <c r="C116" s="57" t="s">
        <v>343</v>
      </c>
      <c r="D116" s="58">
        <v>2.2700000000000001E-2</v>
      </c>
      <c r="E116" s="57" t="s">
        <v>112</v>
      </c>
      <c r="F116" s="59">
        <v>78417</v>
      </c>
      <c r="G116" s="56" t="s">
        <v>344</v>
      </c>
      <c r="H116" s="23">
        <v>43101</v>
      </c>
      <c r="I116" s="23" t="s">
        <v>106</v>
      </c>
      <c r="J116" s="109"/>
      <c r="K116" s="58"/>
      <c r="L116" s="58"/>
      <c r="M116" s="59">
        <v>78417</v>
      </c>
      <c r="N116" s="129">
        <f>65866/M116</f>
        <v>0.8399454199982147</v>
      </c>
      <c r="O116" s="130" t="s">
        <v>597</v>
      </c>
      <c r="P116" s="148">
        <v>0.93110000000000004</v>
      </c>
      <c r="Q116" s="149" t="s">
        <v>766</v>
      </c>
      <c r="R116" s="174">
        <f>130884/M116</f>
        <v>1.6690768583342896</v>
      </c>
      <c r="S116" s="175" t="s">
        <v>901</v>
      </c>
      <c r="T116" s="58"/>
      <c r="U116" s="59"/>
    </row>
    <row r="117" spans="1:21" ht="76.5">
      <c r="A117" s="366"/>
      <c r="B117" s="56" t="s">
        <v>345</v>
      </c>
      <c r="C117" s="57" t="s">
        <v>346</v>
      </c>
      <c r="D117" s="58">
        <v>2.2700000000000001E-2</v>
      </c>
      <c r="E117" s="57" t="s">
        <v>105</v>
      </c>
      <c r="F117" s="43">
        <v>1</v>
      </c>
      <c r="G117" s="56" t="s">
        <v>347</v>
      </c>
      <c r="H117" s="23">
        <v>43101</v>
      </c>
      <c r="I117" s="23" t="s">
        <v>106</v>
      </c>
      <c r="J117" s="109"/>
      <c r="K117" s="58"/>
      <c r="L117" s="58"/>
      <c r="M117" s="43">
        <v>1</v>
      </c>
      <c r="N117" s="129">
        <f>252234578340/269344538602</f>
        <v>0.93647556267222953</v>
      </c>
      <c r="O117" s="130" t="s">
        <v>614</v>
      </c>
      <c r="P117" s="148">
        <v>0.9365</v>
      </c>
      <c r="Q117" s="149" t="s">
        <v>601</v>
      </c>
      <c r="R117" s="174">
        <v>1</v>
      </c>
      <c r="S117" s="175" t="s">
        <v>902</v>
      </c>
      <c r="T117" s="58"/>
      <c r="U117" s="43"/>
    </row>
    <row r="118" spans="1:21" ht="51">
      <c r="A118" s="366"/>
      <c r="B118" s="56" t="s">
        <v>348</v>
      </c>
      <c r="C118" s="57" t="s">
        <v>343</v>
      </c>
      <c r="D118" s="58">
        <v>2.2700000000000001E-2</v>
      </c>
      <c r="E118" s="57" t="s">
        <v>112</v>
      </c>
      <c r="F118" s="59">
        <v>2085</v>
      </c>
      <c r="G118" s="56" t="s">
        <v>344</v>
      </c>
      <c r="H118" s="23">
        <v>43101</v>
      </c>
      <c r="I118" s="23" t="s">
        <v>106</v>
      </c>
      <c r="J118" s="109"/>
      <c r="K118" s="58"/>
      <c r="L118" s="58"/>
      <c r="M118" s="59">
        <v>2085</v>
      </c>
      <c r="N118" s="129">
        <f>3092/M118</f>
        <v>1.4829736211031175</v>
      </c>
      <c r="O118" s="130" t="s">
        <v>596</v>
      </c>
      <c r="P118" s="148">
        <v>2.8359999999999999</v>
      </c>
      <c r="Q118" s="149" t="s">
        <v>767</v>
      </c>
      <c r="R118" s="174">
        <f>8622/M118</f>
        <v>4.1352517985611508</v>
      </c>
      <c r="S118" s="175" t="s">
        <v>903</v>
      </c>
      <c r="T118" s="58"/>
      <c r="U118" s="59"/>
    </row>
    <row r="119" spans="1:21" ht="15.75">
      <c r="A119" s="79"/>
      <c r="B119" s="56"/>
      <c r="C119" s="57"/>
      <c r="D119" s="77">
        <f>SUM(D86:D118)</f>
        <v>0.49940000000000001</v>
      </c>
      <c r="E119" s="57"/>
      <c r="F119" s="59"/>
      <c r="G119" s="56"/>
      <c r="H119" s="23"/>
      <c r="I119" s="23"/>
      <c r="J119" s="109"/>
      <c r="K119" s="58"/>
      <c r="L119" s="58"/>
      <c r="M119" s="59"/>
      <c r="N119" s="72"/>
      <c r="O119" s="72"/>
      <c r="P119" s="72"/>
      <c r="Q119" s="72"/>
      <c r="R119" s="72"/>
      <c r="S119" s="72"/>
      <c r="T119" s="72"/>
      <c r="U119" s="72"/>
    </row>
    <row r="120" spans="1:21" ht="33.75">
      <c r="A120" s="316" t="s">
        <v>515</v>
      </c>
      <c r="B120" s="316"/>
      <c r="C120" s="316"/>
      <c r="D120" s="316"/>
      <c r="E120" s="316"/>
      <c r="F120" s="316"/>
      <c r="G120" s="316"/>
      <c r="H120" s="316"/>
      <c r="I120" s="316"/>
      <c r="J120" s="316"/>
      <c r="K120" s="316"/>
      <c r="L120" s="316"/>
      <c r="M120" s="316"/>
      <c r="N120" s="316"/>
      <c r="O120" s="316"/>
      <c r="P120" s="316"/>
      <c r="Q120" s="316"/>
      <c r="R120" s="316"/>
      <c r="S120" s="316"/>
      <c r="T120" s="316"/>
      <c r="U120" s="316"/>
    </row>
    <row r="121" spans="1:21" ht="18.75">
      <c r="A121" s="339" t="s">
        <v>103</v>
      </c>
      <c r="B121" s="339" t="s">
        <v>74</v>
      </c>
      <c r="C121" s="339" t="s">
        <v>65</v>
      </c>
      <c r="D121" s="339" t="s">
        <v>66</v>
      </c>
      <c r="E121" s="339" t="s">
        <v>67</v>
      </c>
      <c r="F121" s="340" t="s">
        <v>68</v>
      </c>
      <c r="G121" s="339" t="s">
        <v>69</v>
      </c>
      <c r="H121" s="341" t="s">
        <v>70</v>
      </c>
      <c r="I121" s="341"/>
      <c r="J121" s="341" t="s">
        <v>79</v>
      </c>
      <c r="K121" s="341"/>
      <c r="L121" s="341"/>
      <c r="M121" s="341"/>
      <c r="N121" s="331" t="s">
        <v>511</v>
      </c>
      <c r="O121" s="331"/>
      <c r="P121" s="331"/>
      <c r="Q121" s="331"/>
      <c r="R121" s="331"/>
      <c r="S121" s="331"/>
      <c r="T121" s="331"/>
      <c r="U121" s="331"/>
    </row>
    <row r="122" spans="1:21" ht="15.75">
      <c r="A122" s="339"/>
      <c r="B122" s="339"/>
      <c r="C122" s="339"/>
      <c r="D122" s="339"/>
      <c r="E122" s="339"/>
      <c r="F122" s="340"/>
      <c r="G122" s="339"/>
      <c r="H122" s="332" t="s">
        <v>71</v>
      </c>
      <c r="I122" s="332" t="s">
        <v>197</v>
      </c>
      <c r="J122" s="15" t="s">
        <v>75</v>
      </c>
      <c r="K122" s="15" t="s">
        <v>76</v>
      </c>
      <c r="L122" s="15" t="s">
        <v>77</v>
      </c>
      <c r="M122" s="15" t="s">
        <v>78</v>
      </c>
      <c r="N122" s="333" t="s">
        <v>75</v>
      </c>
      <c r="O122" s="333"/>
      <c r="P122" s="333" t="s">
        <v>76</v>
      </c>
      <c r="Q122" s="333"/>
      <c r="R122" s="333" t="s">
        <v>77</v>
      </c>
      <c r="S122" s="333"/>
      <c r="T122" s="333" t="s">
        <v>78</v>
      </c>
      <c r="U122" s="333"/>
    </row>
    <row r="123" spans="1:21" ht="31.5">
      <c r="A123" s="339"/>
      <c r="B123" s="339"/>
      <c r="C123" s="339"/>
      <c r="D123" s="339"/>
      <c r="E123" s="339"/>
      <c r="F123" s="340"/>
      <c r="G123" s="339"/>
      <c r="H123" s="332"/>
      <c r="I123" s="332"/>
      <c r="J123" s="101" t="s">
        <v>64</v>
      </c>
      <c r="K123" s="55" t="s">
        <v>64</v>
      </c>
      <c r="L123" s="55" t="s">
        <v>64</v>
      </c>
      <c r="M123" s="55" t="s">
        <v>64</v>
      </c>
      <c r="N123" s="185" t="s">
        <v>514</v>
      </c>
      <c r="O123" s="185" t="s">
        <v>513</v>
      </c>
      <c r="P123" s="185" t="s">
        <v>514</v>
      </c>
      <c r="Q123" s="185" t="s">
        <v>513</v>
      </c>
      <c r="R123" s="185" t="s">
        <v>514</v>
      </c>
      <c r="S123" s="185" t="s">
        <v>513</v>
      </c>
      <c r="T123" s="185" t="s">
        <v>514</v>
      </c>
      <c r="U123" s="185" t="s">
        <v>513</v>
      </c>
    </row>
    <row r="124" spans="1:21" s="73" customFormat="1" ht="33.75">
      <c r="A124" s="316" t="s">
        <v>349</v>
      </c>
      <c r="B124" s="316"/>
      <c r="C124" s="316"/>
      <c r="D124" s="316"/>
      <c r="E124" s="316"/>
      <c r="F124" s="316"/>
      <c r="G124" s="316"/>
      <c r="H124" s="316"/>
      <c r="I124" s="316"/>
      <c r="J124" s="316"/>
      <c r="K124" s="316"/>
      <c r="L124" s="316"/>
      <c r="M124" s="316"/>
      <c r="N124" s="316"/>
      <c r="O124" s="316"/>
      <c r="P124" s="316"/>
      <c r="Q124" s="316"/>
      <c r="R124" s="316"/>
      <c r="S124" s="316"/>
      <c r="T124" s="316"/>
      <c r="U124" s="316"/>
    </row>
    <row r="125" spans="1:21" ht="189">
      <c r="A125" s="369" t="s">
        <v>199</v>
      </c>
      <c r="B125" s="44" t="s">
        <v>350</v>
      </c>
      <c r="C125" s="16" t="s">
        <v>351</v>
      </c>
      <c r="D125" s="25">
        <v>7.1400000000000005E-2</v>
      </c>
      <c r="E125" s="16" t="s">
        <v>105</v>
      </c>
      <c r="F125" s="25">
        <v>1</v>
      </c>
      <c r="G125" s="16" t="s">
        <v>352</v>
      </c>
      <c r="H125" s="23">
        <v>43101</v>
      </c>
      <c r="I125" s="23">
        <v>43159</v>
      </c>
      <c r="J125" s="25">
        <v>0.2</v>
      </c>
      <c r="K125" s="25">
        <v>0.4</v>
      </c>
      <c r="L125" s="25">
        <v>0.7</v>
      </c>
      <c r="M125" s="25">
        <v>1</v>
      </c>
      <c r="N125" s="113">
        <f>+J125</f>
        <v>0.2</v>
      </c>
      <c r="O125" s="110" t="s">
        <v>615</v>
      </c>
      <c r="P125" s="163">
        <v>1</v>
      </c>
      <c r="Q125" s="124" t="s">
        <v>719</v>
      </c>
      <c r="R125" s="124">
        <v>0.7</v>
      </c>
      <c r="S125" s="9" t="s">
        <v>904</v>
      </c>
      <c r="T125" s="35">
        <v>1</v>
      </c>
      <c r="U125" s="35" t="s">
        <v>993</v>
      </c>
    </row>
    <row r="126" spans="1:21" ht="409.5">
      <c r="A126" s="369"/>
      <c r="B126" s="44" t="s">
        <v>353</v>
      </c>
      <c r="C126" s="16" t="s">
        <v>354</v>
      </c>
      <c r="D126" s="25">
        <v>7.1400000000000005E-2</v>
      </c>
      <c r="E126" s="16" t="s">
        <v>105</v>
      </c>
      <c r="F126" s="25">
        <v>1</v>
      </c>
      <c r="G126" s="16" t="s">
        <v>355</v>
      </c>
      <c r="H126" s="23">
        <v>43101</v>
      </c>
      <c r="I126" s="23">
        <v>43465</v>
      </c>
      <c r="J126" s="25">
        <v>0.15</v>
      </c>
      <c r="K126" s="25">
        <v>0.5</v>
      </c>
      <c r="L126" s="25">
        <v>0.65</v>
      </c>
      <c r="M126" s="25">
        <v>1</v>
      </c>
      <c r="N126" s="118">
        <v>0.2</v>
      </c>
      <c r="O126" s="110" t="s">
        <v>616</v>
      </c>
      <c r="P126" s="124">
        <v>0.65</v>
      </c>
      <c r="Q126" s="163" t="s">
        <v>720</v>
      </c>
      <c r="R126" s="124">
        <v>0.7</v>
      </c>
      <c r="S126" s="9" t="s">
        <v>905</v>
      </c>
      <c r="T126" s="35">
        <v>1</v>
      </c>
      <c r="U126" s="35" t="s">
        <v>994</v>
      </c>
    </row>
    <row r="127" spans="1:21" ht="346.5">
      <c r="A127" s="369"/>
      <c r="B127" s="44" t="s">
        <v>356</v>
      </c>
      <c r="C127" s="16" t="s">
        <v>357</v>
      </c>
      <c r="D127" s="25">
        <v>7.1400000000000005E-2</v>
      </c>
      <c r="E127" s="16" t="s">
        <v>105</v>
      </c>
      <c r="F127" s="25">
        <v>1</v>
      </c>
      <c r="G127" s="16" t="s">
        <v>358</v>
      </c>
      <c r="H127" s="23">
        <v>43101</v>
      </c>
      <c r="I127" s="23">
        <v>43465</v>
      </c>
      <c r="J127" s="25">
        <v>0.25</v>
      </c>
      <c r="K127" s="25">
        <v>0.5</v>
      </c>
      <c r="L127" s="25">
        <v>0.75</v>
      </c>
      <c r="M127" s="25">
        <v>1</v>
      </c>
      <c r="N127" s="132">
        <v>0.25</v>
      </c>
      <c r="O127" s="110" t="s">
        <v>617</v>
      </c>
      <c r="P127" s="124">
        <v>0.5</v>
      </c>
      <c r="Q127" s="124" t="s">
        <v>721</v>
      </c>
      <c r="R127" s="124">
        <v>0.75</v>
      </c>
      <c r="S127" s="9" t="s">
        <v>906</v>
      </c>
      <c r="T127" s="35">
        <v>1</v>
      </c>
      <c r="U127" s="35" t="s">
        <v>995</v>
      </c>
    </row>
    <row r="128" spans="1:21" ht="409.5">
      <c r="A128" s="369"/>
      <c r="B128" s="44" t="s">
        <v>359</v>
      </c>
      <c r="C128" s="16" t="s">
        <v>360</v>
      </c>
      <c r="D128" s="25">
        <v>7.1400000000000005E-2</v>
      </c>
      <c r="E128" s="16" t="s">
        <v>105</v>
      </c>
      <c r="F128" s="25">
        <v>1</v>
      </c>
      <c r="G128" s="16" t="s">
        <v>361</v>
      </c>
      <c r="H128" s="23">
        <v>43101</v>
      </c>
      <c r="I128" s="23">
        <v>43465</v>
      </c>
      <c r="J128" s="25">
        <v>0.25</v>
      </c>
      <c r="K128" s="25">
        <v>0.55000000000000004</v>
      </c>
      <c r="L128" s="25">
        <v>0.85</v>
      </c>
      <c r="M128" s="25">
        <v>1</v>
      </c>
      <c r="N128" s="124">
        <v>0.25</v>
      </c>
      <c r="O128" s="110" t="s">
        <v>618</v>
      </c>
      <c r="P128" s="124">
        <v>0.55000000000000004</v>
      </c>
      <c r="Q128" s="124" t="s">
        <v>722</v>
      </c>
      <c r="R128" s="124">
        <v>0.85</v>
      </c>
      <c r="S128" s="9" t="s">
        <v>907</v>
      </c>
      <c r="T128" s="35">
        <v>1</v>
      </c>
      <c r="U128" s="35" t="s">
        <v>996</v>
      </c>
    </row>
    <row r="129" spans="1:21" ht="409.5">
      <c r="A129" s="369"/>
      <c r="B129" s="44" t="s">
        <v>362</v>
      </c>
      <c r="C129" s="16" t="s">
        <v>363</v>
      </c>
      <c r="D129" s="25">
        <v>7.1400000000000005E-2</v>
      </c>
      <c r="E129" s="16" t="s">
        <v>105</v>
      </c>
      <c r="F129" s="25">
        <v>1</v>
      </c>
      <c r="G129" s="16" t="s">
        <v>364</v>
      </c>
      <c r="H129" s="23">
        <v>43101</v>
      </c>
      <c r="I129" s="23">
        <v>43465</v>
      </c>
      <c r="J129" s="25">
        <v>0.25</v>
      </c>
      <c r="K129" s="25">
        <v>0.5</v>
      </c>
      <c r="L129" s="25">
        <v>0.75</v>
      </c>
      <c r="M129" s="25">
        <v>1</v>
      </c>
      <c r="N129" s="124">
        <v>0</v>
      </c>
      <c r="O129" s="110" t="s">
        <v>619</v>
      </c>
      <c r="P129" s="124">
        <v>0.2</v>
      </c>
      <c r="Q129" s="124" t="s">
        <v>723</v>
      </c>
      <c r="R129" s="124">
        <v>0.6</v>
      </c>
      <c r="S129" s="9" t="s">
        <v>908</v>
      </c>
      <c r="T129" s="35">
        <v>1</v>
      </c>
      <c r="U129" s="35" t="s">
        <v>997</v>
      </c>
    </row>
    <row r="130" spans="1:21" ht="393.75">
      <c r="A130" s="369"/>
      <c r="B130" s="44" t="s">
        <v>365</v>
      </c>
      <c r="C130" s="16" t="s">
        <v>366</v>
      </c>
      <c r="D130" s="25">
        <v>7.1400000000000005E-2</v>
      </c>
      <c r="E130" s="16" t="s">
        <v>105</v>
      </c>
      <c r="F130" s="25">
        <v>1</v>
      </c>
      <c r="G130" s="16" t="s">
        <v>367</v>
      </c>
      <c r="H130" s="23">
        <v>43101</v>
      </c>
      <c r="I130" s="23">
        <v>43465</v>
      </c>
      <c r="J130" s="25">
        <v>0.05</v>
      </c>
      <c r="K130" s="25">
        <v>0.5</v>
      </c>
      <c r="L130" s="25">
        <v>0.75</v>
      </c>
      <c r="M130" s="25">
        <v>1</v>
      </c>
      <c r="N130" s="133">
        <v>0.05</v>
      </c>
      <c r="O130" s="110" t="s">
        <v>620</v>
      </c>
      <c r="P130" s="124">
        <v>0.5</v>
      </c>
      <c r="Q130" s="124" t="s">
        <v>724</v>
      </c>
      <c r="R130" s="124">
        <v>0.75</v>
      </c>
      <c r="S130" s="9" t="s">
        <v>909</v>
      </c>
      <c r="T130" s="35">
        <v>1</v>
      </c>
      <c r="U130" s="35" t="s">
        <v>998</v>
      </c>
    </row>
    <row r="131" spans="1:21" ht="409.5">
      <c r="A131" s="369"/>
      <c r="B131" s="45" t="s">
        <v>368</v>
      </c>
      <c r="C131" s="16" t="s">
        <v>369</v>
      </c>
      <c r="D131" s="25">
        <v>7.1400000000000005E-2</v>
      </c>
      <c r="E131" s="16" t="s">
        <v>105</v>
      </c>
      <c r="F131" s="25">
        <v>1</v>
      </c>
      <c r="G131" s="16" t="s">
        <v>370</v>
      </c>
      <c r="H131" s="23">
        <v>43101</v>
      </c>
      <c r="I131" s="23">
        <v>43465</v>
      </c>
      <c r="J131" s="25">
        <v>0.25</v>
      </c>
      <c r="K131" s="25">
        <v>0.5</v>
      </c>
      <c r="L131" s="25">
        <v>0.75</v>
      </c>
      <c r="M131" s="25">
        <v>1</v>
      </c>
      <c r="N131" s="133">
        <v>0.25</v>
      </c>
      <c r="O131" s="110" t="s">
        <v>621</v>
      </c>
      <c r="P131" s="124">
        <v>0.5</v>
      </c>
      <c r="Q131" s="124" t="s">
        <v>725</v>
      </c>
      <c r="R131" s="124">
        <v>0.75</v>
      </c>
      <c r="S131" s="9" t="s">
        <v>910</v>
      </c>
      <c r="T131" s="35">
        <v>1</v>
      </c>
      <c r="U131" s="35" t="s">
        <v>999</v>
      </c>
    </row>
    <row r="132" spans="1:21">
      <c r="A132" s="76"/>
      <c r="B132" s="76"/>
      <c r="C132" s="76"/>
      <c r="D132" s="77">
        <f>SUM(D125:D131)</f>
        <v>0.49980000000000008</v>
      </c>
      <c r="E132" s="76"/>
      <c r="F132" s="59"/>
      <c r="G132" s="76"/>
      <c r="H132" s="76"/>
      <c r="I132" s="76"/>
      <c r="J132" s="76"/>
      <c r="K132" s="76"/>
      <c r="L132" s="76"/>
      <c r="M132" s="76"/>
      <c r="N132" s="72"/>
      <c r="O132" s="72"/>
      <c r="P132" s="72"/>
      <c r="Q132" s="72"/>
      <c r="R132" s="72"/>
      <c r="S132" s="72"/>
      <c r="T132" s="72"/>
      <c r="U132" s="72"/>
    </row>
    <row r="133" spans="1:21" ht="33.75">
      <c r="A133" s="316" t="s">
        <v>515</v>
      </c>
      <c r="B133" s="316"/>
      <c r="C133" s="316"/>
      <c r="D133" s="316"/>
      <c r="E133" s="316"/>
      <c r="F133" s="316"/>
      <c r="G133" s="316"/>
      <c r="H133" s="316"/>
      <c r="I133" s="316"/>
      <c r="J133" s="316"/>
      <c r="K133" s="316"/>
      <c r="L133" s="316"/>
      <c r="M133" s="316"/>
      <c r="N133" s="316"/>
      <c r="O133" s="316"/>
      <c r="P133" s="316"/>
      <c r="Q133" s="316"/>
      <c r="R133" s="316"/>
      <c r="S133" s="316"/>
      <c r="T133" s="316"/>
      <c r="U133" s="316"/>
    </row>
    <row r="134" spans="1:21" ht="18.75">
      <c r="A134" s="339" t="s">
        <v>103</v>
      </c>
      <c r="B134" s="339" t="s">
        <v>74</v>
      </c>
      <c r="C134" s="339" t="s">
        <v>65</v>
      </c>
      <c r="D134" s="339" t="s">
        <v>66</v>
      </c>
      <c r="E134" s="339" t="s">
        <v>67</v>
      </c>
      <c r="F134" s="340" t="s">
        <v>68</v>
      </c>
      <c r="G134" s="339" t="s">
        <v>69</v>
      </c>
      <c r="H134" s="341" t="s">
        <v>70</v>
      </c>
      <c r="I134" s="341"/>
      <c r="J134" s="341" t="s">
        <v>79</v>
      </c>
      <c r="K134" s="341"/>
      <c r="L134" s="341"/>
      <c r="M134" s="341"/>
      <c r="N134" s="331" t="s">
        <v>511</v>
      </c>
      <c r="O134" s="331"/>
      <c r="P134" s="331"/>
      <c r="Q134" s="331"/>
      <c r="R134" s="331"/>
      <c r="S134" s="331"/>
      <c r="T134" s="331"/>
      <c r="U134" s="331"/>
    </row>
    <row r="135" spans="1:21" ht="15.75">
      <c r="A135" s="339"/>
      <c r="B135" s="339"/>
      <c r="C135" s="339"/>
      <c r="D135" s="339"/>
      <c r="E135" s="339"/>
      <c r="F135" s="340"/>
      <c r="G135" s="339"/>
      <c r="H135" s="332" t="s">
        <v>71</v>
      </c>
      <c r="I135" s="332" t="s">
        <v>197</v>
      </c>
      <c r="J135" s="15" t="s">
        <v>75</v>
      </c>
      <c r="K135" s="15" t="s">
        <v>76</v>
      </c>
      <c r="L135" s="15" t="s">
        <v>77</v>
      </c>
      <c r="M135" s="15" t="s">
        <v>78</v>
      </c>
      <c r="N135" s="333" t="s">
        <v>75</v>
      </c>
      <c r="O135" s="333"/>
      <c r="P135" s="333" t="s">
        <v>76</v>
      </c>
      <c r="Q135" s="333"/>
      <c r="R135" s="333" t="s">
        <v>77</v>
      </c>
      <c r="S135" s="333"/>
      <c r="T135" s="333" t="s">
        <v>78</v>
      </c>
      <c r="U135" s="333"/>
    </row>
    <row r="136" spans="1:21" ht="31.5">
      <c r="A136" s="339"/>
      <c r="B136" s="339"/>
      <c r="C136" s="339"/>
      <c r="D136" s="339"/>
      <c r="E136" s="339"/>
      <c r="F136" s="340"/>
      <c r="G136" s="339"/>
      <c r="H136" s="332"/>
      <c r="I136" s="332"/>
      <c r="J136" s="101" t="s">
        <v>64</v>
      </c>
      <c r="K136" s="55" t="s">
        <v>64</v>
      </c>
      <c r="L136" s="55" t="s">
        <v>64</v>
      </c>
      <c r="M136" s="55" t="s">
        <v>64</v>
      </c>
      <c r="N136" s="185" t="s">
        <v>514</v>
      </c>
      <c r="O136" s="185" t="s">
        <v>513</v>
      </c>
      <c r="P136" s="185" t="s">
        <v>514</v>
      </c>
      <c r="Q136" s="185" t="s">
        <v>513</v>
      </c>
      <c r="R136" s="185" t="s">
        <v>514</v>
      </c>
      <c r="S136" s="185" t="s">
        <v>513</v>
      </c>
      <c r="T136" s="185" t="s">
        <v>514</v>
      </c>
      <c r="U136" s="185" t="s">
        <v>513</v>
      </c>
    </row>
    <row r="137" spans="1:21" ht="33.75">
      <c r="A137" s="316" t="s">
        <v>371</v>
      </c>
      <c r="B137" s="316"/>
      <c r="C137" s="316"/>
      <c r="D137" s="316"/>
      <c r="E137" s="316"/>
      <c r="F137" s="316"/>
      <c r="G137" s="316"/>
      <c r="H137" s="316"/>
      <c r="I137" s="316"/>
      <c r="J137" s="316"/>
      <c r="K137" s="316"/>
      <c r="L137" s="316"/>
      <c r="M137" s="316"/>
      <c r="N137" s="316"/>
      <c r="O137" s="316"/>
      <c r="P137" s="316"/>
      <c r="Q137" s="316"/>
      <c r="R137" s="316"/>
      <c r="S137" s="316"/>
      <c r="T137" s="316"/>
      <c r="U137" s="316"/>
    </row>
    <row r="138" spans="1:21" ht="330.75">
      <c r="A138" s="369" t="s">
        <v>199</v>
      </c>
      <c r="B138" s="370" t="s">
        <v>200</v>
      </c>
      <c r="C138" s="16" t="s">
        <v>372</v>
      </c>
      <c r="D138" s="25">
        <v>0.18</v>
      </c>
      <c r="E138" s="16" t="s">
        <v>112</v>
      </c>
      <c r="F138" s="26">
        <v>200</v>
      </c>
      <c r="G138" s="16" t="s">
        <v>373</v>
      </c>
      <c r="H138" s="23">
        <v>43102</v>
      </c>
      <c r="I138" s="23">
        <v>43464</v>
      </c>
      <c r="J138" s="26">
        <v>50</v>
      </c>
      <c r="K138" s="26">
        <v>100</v>
      </c>
      <c r="L138" s="26">
        <v>150</v>
      </c>
      <c r="M138" s="26">
        <v>200</v>
      </c>
      <c r="N138" s="26">
        <v>54</v>
      </c>
      <c r="O138" s="110" t="s">
        <v>622</v>
      </c>
      <c r="P138" s="150">
        <v>151</v>
      </c>
      <c r="Q138" s="150" t="s">
        <v>692</v>
      </c>
      <c r="R138" s="194">
        <v>219</v>
      </c>
      <c r="S138" s="183" t="s">
        <v>911</v>
      </c>
      <c r="T138" s="256">
        <v>283</v>
      </c>
      <c r="U138" s="256" t="s">
        <v>1000</v>
      </c>
    </row>
    <row r="139" spans="1:21" ht="409.5">
      <c r="A139" s="369"/>
      <c r="B139" s="370"/>
      <c r="C139" s="16" t="s">
        <v>374</v>
      </c>
      <c r="D139" s="25">
        <v>0.12</v>
      </c>
      <c r="E139" s="16" t="s">
        <v>112</v>
      </c>
      <c r="F139" s="26">
        <v>45000</v>
      </c>
      <c r="G139" s="16" t="s">
        <v>375</v>
      </c>
      <c r="H139" s="23">
        <v>43102</v>
      </c>
      <c r="I139" s="23">
        <v>43464</v>
      </c>
      <c r="J139" s="26">
        <v>11250</v>
      </c>
      <c r="K139" s="26">
        <v>22500</v>
      </c>
      <c r="L139" s="26">
        <v>33750</v>
      </c>
      <c r="M139" s="26">
        <v>45000</v>
      </c>
      <c r="N139" s="26">
        <v>99932</v>
      </c>
      <c r="O139" s="110" t="s">
        <v>623</v>
      </c>
      <c r="P139" s="150">
        <v>286658</v>
      </c>
      <c r="Q139" s="150" t="s">
        <v>693</v>
      </c>
      <c r="R139" s="195">
        <v>391515</v>
      </c>
      <c r="S139" s="183" t="s">
        <v>912</v>
      </c>
      <c r="T139" s="256">
        <v>406207</v>
      </c>
      <c r="U139" s="256" t="s">
        <v>1001</v>
      </c>
    </row>
    <row r="140" spans="1:21" ht="110.25">
      <c r="A140" s="369"/>
      <c r="B140" s="370"/>
      <c r="C140" s="16" t="s">
        <v>376</v>
      </c>
      <c r="D140" s="25">
        <v>0.1</v>
      </c>
      <c r="E140" s="16" t="s">
        <v>112</v>
      </c>
      <c r="F140" s="26">
        <v>8000</v>
      </c>
      <c r="G140" s="16" t="s">
        <v>377</v>
      </c>
      <c r="H140" s="23">
        <v>43102</v>
      </c>
      <c r="I140" s="23">
        <v>43464</v>
      </c>
      <c r="J140" s="26">
        <v>2000</v>
      </c>
      <c r="K140" s="26">
        <v>4000</v>
      </c>
      <c r="L140" s="26">
        <v>6000</v>
      </c>
      <c r="M140" s="26">
        <v>8000</v>
      </c>
      <c r="N140" s="26">
        <v>2700</v>
      </c>
      <c r="O140" s="110" t="s">
        <v>624</v>
      </c>
      <c r="P140" s="150">
        <v>5536</v>
      </c>
      <c r="Q140" s="150" t="s">
        <v>694</v>
      </c>
      <c r="R140" s="194">
        <v>8236</v>
      </c>
      <c r="S140" s="183" t="s">
        <v>913</v>
      </c>
      <c r="T140" s="256">
        <v>10936</v>
      </c>
      <c r="U140" s="256" t="s">
        <v>1002</v>
      </c>
    </row>
    <row r="141" spans="1:21" ht="131.25">
      <c r="A141" s="369"/>
      <c r="B141" s="370"/>
      <c r="C141" s="16" t="s">
        <v>378</v>
      </c>
      <c r="D141" s="25">
        <v>0.1</v>
      </c>
      <c r="E141" s="16" t="s">
        <v>112</v>
      </c>
      <c r="F141" s="26">
        <v>4000</v>
      </c>
      <c r="G141" s="16" t="s">
        <v>379</v>
      </c>
      <c r="H141" s="23">
        <v>43102</v>
      </c>
      <c r="I141" s="23">
        <v>43464</v>
      </c>
      <c r="J141" s="26">
        <v>1000</v>
      </c>
      <c r="K141" s="26">
        <v>2000</v>
      </c>
      <c r="L141" s="26">
        <v>3000</v>
      </c>
      <c r="M141" s="26">
        <v>4000</v>
      </c>
      <c r="N141" s="26">
        <v>865</v>
      </c>
      <c r="O141" s="110" t="s">
        <v>625</v>
      </c>
      <c r="P141" s="150">
        <v>1308</v>
      </c>
      <c r="Q141" s="150" t="s">
        <v>695</v>
      </c>
      <c r="R141" s="194">
        <v>2009</v>
      </c>
      <c r="S141" s="183" t="s">
        <v>914</v>
      </c>
      <c r="T141" s="256">
        <v>3005</v>
      </c>
      <c r="U141" s="256" t="s">
        <v>1003</v>
      </c>
    </row>
    <row r="142" spans="1:21">
      <c r="A142" s="76"/>
      <c r="B142" s="76"/>
      <c r="C142" s="76"/>
      <c r="D142" s="74">
        <f>SUM(D138:D141)</f>
        <v>0.5</v>
      </c>
      <c r="E142" s="76"/>
      <c r="F142" s="59"/>
      <c r="G142" s="76"/>
      <c r="H142" s="76"/>
      <c r="I142" s="76"/>
      <c r="J142" s="76"/>
      <c r="K142" s="76"/>
      <c r="L142" s="76"/>
      <c r="M142" s="76"/>
      <c r="N142" s="72"/>
      <c r="O142" s="72"/>
      <c r="P142" s="72"/>
      <c r="Q142" s="72"/>
      <c r="R142" s="72"/>
      <c r="S142" s="72"/>
      <c r="T142" s="72"/>
      <c r="U142" s="72"/>
    </row>
    <row r="143" spans="1:21" ht="33.75">
      <c r="A143" s="316" t="s">
        <v>515</v>
      </c>
      <c r="B143" s="316"/>
      <c r="C143" s="316"/>
      <c r="D143" s="316"/>
      <c r="E143" s="316"/>
      <c r="F143" s="316"/>
      <c r="G143" s="316"/>
      <c r="H143" s="316"/>
      <c r="I143" s="316"/>
      <c r="J143" s="316"/>
      <c r="K143" s="316"/>
      <c r="L143" s="316"/>
      <c r="M143" s="316"/>
      <c r="N143" s="316"/>
      <c r="O143" s="316"/>
      <c r="P143" s="316"/>
      <c r="Q143" s="316"/>
      <c r="R143" s="316"/>
      <c r="S143" s="316"/>
      <c r="T143" s="316"/>
      <c r="U143" s="316"/>
    </row>
    <row r="144" spans="1:21" ht="18.75">
      <c r="A144" s="339" t="s">
        <v>103</v>
      </c>
      <c r="B144" s="339" t="s">
        <v>74</v>
      </c>
      <c r="C144" s="339" t="s">
        <v>65</v>
      </c>
      <c r="D144" s="339" t="s">
        <v>66</v>
      </c>
      <c r="E144" s="339" t="s">
        <v>67</v>
      </c>
      <c r="F144" s="340" t="s">
        <v>68</v>
      </c>
      <c r="G144" s="339" t="s">
        <v>69</v>
      </c>
      <c r="H144" s="341" t="s">
        <v>70</v>
      </c>
      <c r="I144" s="341"/>
      <c r="J144" s="341" t="s">
        <v>79</v>
      </c>
      <c r="K144" s="341"/>
      <c r="L144" s="341"/>
      <c r="M144" s="341"/>
      <c r="N144" s="331" t="s">
        <v>511</v>
      </c>
      <c r="O144" s="331"/>
      <c r="P144" s="331"/>
      <c r="Q144" s="331"/>
      <c r="R144" s="331"/>
      <c r="S144" s="331"/>
      <c r="T144" s="331"/>
      <c r="U144" s="331"/>
    </row>
    <row r="145" spans="1:21" ht="15.75">
      <c r="A145" s="339"/>
      <c r="B145" s="339"/>
      <c r="C145" s="339"/>
      <c r="D145" s="339"/>
      <c r="E145" s="339"/>
      <c r="F145" s="340"/>
      <c r="G145" s="339"/>
      <c r="H145" s="332" t="s">
        <v>71</v>
      </c>
      <c r="I145" s="332" t="s">
        <v>197</v>
      </c>
      <c r="J145" s="15" t="s">
        <v>75</v>
      </c>
      <c r="K145" s="15" t="s">
        <v>76</v>
      </c>
      <c r="L145" s="15" t="s">
        <v>77</v>
      </c>
      <c r="M145" s="15" t="s">
        <v>78</v>
      </c>
      <c r="N145" s="333" t="s">
        <v>75</v>
      </c>
      <c r="O145" s="333"/>
      <c r="P145" s="333" t="s">
        <v>76</v>
      </c>
      <c r="Q145" s="333"/>
      <c r="R145" s="333" t="s">
        <v>77</v>
      </c>
      <c r="S145" s="333"/>
      <c r="T145" s="333" t="s">
        <v>78</v>
      </c>
      <c r="U145" s="333"/>
    </row>
    <row r="146" spans="1:21" ht="31.5">
      <c r="A146" s="339"/>
      <c r="B146" s="339"/>
      <c r="C146" s="339"/>
      <c r="D146" s="339"/>
      <c r="E146" s="339"/>
      <c r="F146" s="340"/>
      <c r="G146" s="339"/>
      <c r="H146" s="332"/>
      <c r="I146" s="332"/>
      <c r="J146" s="101" t="s">
        <v>64</v>
      </c>
      <c r="K146" s="55" t="s">
        <v>64</v>
      </c>
      <c r="L146" s="55" t="s">
        <v>64</v>
      </c>
      <c r="M146" s="55" t="s">
        <v>64</v>
      </c>
      <c r="N146" s="185" t="s">
        <v>514</v>
      </c>
      <c r="O146" s="185" t="s">
        <v>513</v>
      </c>
      <c r="P146" s="185" t="s">
        <v>514</v>
      </c>
      <c r="Q146" s="185" t="s">
        <v>513</v>
      </c>
      <c r="R146" s="185" t="s">
        <v>514</v>
      </c>
      <c r="S146" s="185" t="s">
        <v>513</v>
      </c>
      <c r="T146" s="185" t="s">
        <v>514</v>
      </c>
      <c r="U146" s="185" t="s">
        <v>513</v>
      </c>
    </row>
    <row r="147" spans="1:21" ht="33.75">
      <c r="A147" s="316" t="s">
        <v>380</v>
      </c>
      <c r="B147" s="316"/>
      <c r="C147" s="316"/>
      <c r="D147" s="316"/>
      <c r="E147" s="316"/>
      <c r="F147" s="316"/>
      <c r="G147" s="316"/>
      <c r="H147" s="316"/>
      <c r="I147" s="316"/>
      <c r="J147" s="316"/>
      <c r="K147" s="316"/>
      <c r="L147" s="316"/>
      <c r="M147" s="316"/>
      <c r="N147" s="316"/>
      <c r="O147" s="316"/>
      <c r="P147" s="316"/>
      <c r="Q147" s="316"/>
      <c r="R147" s="316"/>
      <c r="S147" s="316"/>
      <c r="T147" s="316"/>
      <c r="U147" s="316"/>
    </row>
    <row r="148" spans="1:21" ht="409.5">
      <c r="A148" s="343" t="s">
        <v>199</v>
      </c>
      <c r="B148" s="370" t="s">
        <v>200</v>
      </c>
      <c r="C148" s="80" t="s">
        <v>381</v>
      </c>
      <c r="D148" s="25">
        <v>0.1</v>
      </c>
      <c r="E148" s="16" t="s">
        <v>112</v>
      </c>
      <c r="F148" s="26">
        <v>1</v>
      </c>
      <c r="G148" s="80" t="s">
        <v>382</v>
      </c>
      <c r="H148" s="23">
        <v>43102</v>
      </c>
      <c r="I148" s="23">
        <v>43464</v>
      </c>
      <c r="J148" s="27">
        <v>0.25</v>
      </c>
      <c r="K148" s="27">
        <v>0.5</v>
      </c>
      <c r="L148" s="27">
        <v>0.75</v>
      </c>
      <c r="M148" s="27">
        <v>1</v>
      </c>
      <c r="N148" s="138">
        <v>0.01</v>
      </c>
      <c r="O148" s="134" t="s">
        <v>626</v>
      </c>
      <c r="P148" s="199">
        <v>0.31</v>
      </c>
      <c r="Q148" s="181" t="s">
        <v>768</v>
      </c>
      <c r="R148" s="176">
        <v>0.84209999999999996</v>
      </c>
      <c r="S148" s="196" t="s">
        <v>915</v>
      </c>
      <c r="T148" s="77">
        <v>1.21</v>
      </c>
      <c r="U148" s="258" t="s">
        <v>1005</v>
      </c>
    </row>
    <row r="149" spans="1:21" ht="409.5">
      <c r="A149" s="369"/>
      <c r="B149" s="370"/>
      <c r="C149" s="80" t="s">
        <v>383</v>
      </c>
      <c r="D149" s="25">
        <v>0.1</v>
      </c>
      <c r="E149" s="16" t="s">
        <v>112</v>
      </c>
      <c r="F149" s="26">
        <v>1</v>
      </c>
      <c r="G149" s="80" t="s">
        <v>384</v>
      </c>
      <c r="H149" s="23">
        <v>43102</v>
      </c>
      <c r="I149" s="23">
        <v>43464</v>
      </c>
      <c r="J149" s="27"/>
      <c r="K149" s="27"/>
      <c r="L149" s="27"/>
      <c r="M149" s="27">
        <v>1</v>
      </c>
      <c r="N149" s="137">
        <v>2.5000000000000001E-2</v>
      </c>
      <c r="O149" s="135" t="s">
        <v>627</v>
      </c>
      <c r="P149" s="199">
        <v>0.75</v>
      </c>
      <c r="Q149" s="181" t="s">
        <v>769</v>
      </c>
      <c r="R149" s="197">
        <v>0.85</v>
      </c>
      <c r="S149" s="182" t="s">
        <v>916</v>
      </c>
      <c r="T149" s="77">
        <v>1</v>
      </c>
      <c r="U149" s="259" t="s">
        <v>1006</v>
      </c>
    </row>
    <row r="150" spans="1:21" ht="409.5">
      <c r="A150" s="369"/>
      <c r="B150" s="370"/>
      <c r="C150" s="80" t="s">
        <v>385</v>
      </c>
      <c r="D150" s="25">
        <v>0.1</v>
      </c>
      <c r="E150" s="16" t="s">
        <v>112</v>
      </c>
      <c r="F150" s="26">
        <v>1</v>
      </c>
      <c r="G150" s="80" t="s">
        <v>386</v>
      </c>
      <c r="H150" s="23">
        <v>43102</v>
      </c>
      <c r="I150" s="23">
        <v>43464</v>
      </c>
      <c r="J150" s="27"/>
      <c r="K150" s="27"/>
      <c r="L150" s="27"/>
      <c r="M150" s="27">
        <v>1</v>
      </c>
      <c r="N150" s="139">
        <v>2.5000000000000001E-2</v>
      </c>
      <c r="O150" s="136" t="s">
        <v>628</v>
      </c>
      <c r="P150" s="199">
        <v>0.72</v>
      </c>
      <c r="Q150" s="181" t="s">
        <v>770</v>
      </c>
      <c r="R150" s="198">
        <v>0.85</v>
      </c>
      <c r="S150" s="196" t="s">
        <v>917</v>
      </c>
      <c r="T150" s="77">
        <v>1</v>
      </c>
      <c r="U150" s="259" t="s">
        <v>1007</v>
      </c>
    </row>
    <row r="151" spans="1:21" ht="409.5">
      <c r="A151" s="369"/>
      <c r="B151" s="370"/>
      <c r="C151" s="80" t="s">
        <v>387</v>
      </c>
      <c r="D151" s="25">
        <v>0.1</v>
      </c>
      <c r="E151" s="16" t="s">
        <v>112</v>
      </c>
      <c r="F151" s="26">
        <v>4</v>
      </c>
      <c r="G151" s="80" t="s">
        <v>388</v>
      </c>
      <c r="H151" s="23">
        <v>43102</v>
      </c>
      <c r="I151" s="23">
        <v>43464</v>
      </c>
      <c r="J151" s="28"/>
      <c r="K151" s="28"/>
      <c r="L151" s="28"/>
      <c r="M151" s="28">
        <v>4</v>
      </c>
      <c r="N151" s="139">
        <v>1.4999999999999999E-2</v>
      </c>
      <c r="O151" s="134" t="s">
        <v>629</v>
      </c>
      <c r="P151" s="199">
        <v>0.62</v>
      </c>
      <c r="Q151" s="181" t="s">
        <v>771</v>
      </c>
      <c r="R151" s="197">
        <v>0.93</v>
      </c>
      <c r="S151" s="196" t="s">
        <v>918</v>
      </c>
      <c r="T151" s="77">
        <v>1</v>
      </c>
      <c r="U151" s="260" t="s">
        <v>1008</v>
      </c>
    </row>
    <row r="152" spans="1:21" ht="409.5">
      <c r="A152" s="369"/>
      <c r="B152" s="370"/>
      <c r="C152" s="80" t="s">
        <v>389</v>
      </c>
      <c r="D152" s="25">
        <v>0.1</v>
      </c>
      <c r="E152" s="16" t="s">
        <v>112</v>
      </c>
      <c r="F152" s="26">
        <v>1</v>
      </c>
      <c r="G152" s="80" t="s">
        <v>390</v>
      </c>
      <c r="H152" s="23">
        <v>43102</v>
      </c>
      <c r="I152" s="23">
        <v>43464</v>
      </c>
      <c r="J152" s="27"/>
      <c r="K152" s="27"/>
      <c r="L152" s="27"/>
      <c r="M152" s="27">
        <v>1</v>
      </c>
      <c r="N152" s="140">
        <v>2.5000000000000001E-2</v>
      </c>
      <c r="O152" s="134" t="s">
        <v>630</v>
      </c>
      <c r="P152" s="200">
        <v>0.6</v>
      </c>
      <c r="Q152" s="181" t="s">
        <v>772</v>
      </c>
      <c r="R152" s="198">
        <v>0.88</v>
      </c>
      <c r="S152" s="191" t="s">
        <v>919</v>
      </c>
      <c r="T152" s="77">
        <v>1</v>
      </c>
      <c r="U152" s="259" t="s">
        <v>1009</v>
      </c>
    </row>
    <row r="153" spans="1:21">
      <c r="A153" s="76"/>
      <c r="B153" s="76"/>
      <c r="C153" s="76"/>
      <c r="D153" s="77">
        <f>SUM(D148:D152)</f>
        <v>0.5</v>
      </c>
      <c r="E153" s="76"/>
      <c r="F153" s="59"/>
      <c r="G153" s="76"/>
      <c r="H153" s="76"/>
      <c r="I153" s="76"/>
      <c r="J153" s="76"/>
      <c r="K153" s="76"/>
      <c r="L153" s="76"/>
      <c r="M153" s="76"/>
      <c r="N153" s="72"/>
      <c r="O153" s="72"/>
      <c r="P153" s="72"/>
      <c r="Q153" s="72"/>
      <c r="R153" s="72"/>
      <c r="S153" s="72"/>
      <c r="T153" s="72"/>
      <c r="U153" s="72"/>
    </row>
    <row r="154" spans="1:21" ht="33.75">
      <c r="A154" s="316" t="s">
        <v>515</v>
      </c>
      <c r="B154" s="316"/>
      <c r="C154" s="316"/>
      <c r="D154" s="316"/>
      <c r="E154" s="316"/>
      <c r="F154" s="316"/>
      <c r="G154" s="316"/>
      <c r="H154" s="316"/>
      <c r="I154" s="316"/>
      <c r="J154" s="316"/>
      <c r="K154" s="316"/>
      <c r="L154" s="316"/>
      <c r="M154" s="316"/>
      <c r="N154" s="316"/>
      <c r="O154" s="316"/>
      <c r="P154" s="316"/>
      <c r="Q154" s="316"/>
      <c r="R154" s="316"/>
      <c r="S154" s="316"/>
      <c r="T154" s="316"/>
      <c r="U154" s="316"/>
    </row>
    <row r="155" spans="1:21" ht="18.75">
      <c r="A155" s="339" t="s">
        <v>103</v>
      </c>
      <c r="B155" s="339" t="s">
        <v>74</v>
      </c>
      <c r="C155" s="339" t="s">
        <v>65</v>
      </c>
      <c r="D155" s="339" t="s">
        <v>66</v>
      </c>
      <c r="E155" s="339" t="s">
        <v>67</v>
      </c>
      <c r="F155" s="340" t="s">
        <v>68</v>
      </c>
      <c r="G155" s="339" t="s">
        <v>69</v>
      </c>
      <c r="H155" s="341" t="s">
        <v>70</v>
      </c>
      <c r="I155" s="341"/>
      <c r="J155" s="341" t="s">
        <v>79</v>
      </c>
      <c r="K155" s="341"/>
      <c r="L155" s="341"/>
      <c r="M155" s="341"/>
      <c r="N155" s="331" t="s">
        <v>511</v>
      </c>
      <c r="O155" s="331"/>
      <c r="P155" s="331"/>
      <c r="Q155" s="331"/>
      <c r="R155" s="331"/>
      <c r="S155" s="331"/>
      <c r="T155" s="331"/>
      <c r="U155" s="331"/>
    </row>
    <row r="156" spans="1:21" ht="15.75">
      <c r="A156" s="339"/>
      <c r="B156" s="339"/>
      <c r="C156" s="339"/>
      <c r="D156" s="339"/>
      <c r="E156" s="339"/>
      <c r="F156" s="340"/>
      <c r="G156" s="339"/>
      <c r="H156" s="332" t="s">
        <v>71</v>
      </c>
      <c r="I156" s="332" t="s">
        <v>197</v>
      </c>
      <c r="J156" s="15" t="s">
        <v>75</v>
      </c>
      <c r="K156" s="15" t="s">
        <v>76</v>
      </c>
      <c r="L156" s="15" t="s">
        <v>77</v>
      </c>
      <c r="M156" s="15" t="s">
        <v>78</v>
      </c>
      <c r="N156" s="333" t="s">
        <v>75</v>
      </c>
      <c r="O156" s="333"/>
      <c r="P156" s="333" t="s">
        <v>76</v>
      </c>
      <c r="Q156" s="333"/>
      <c r="R156" s="333" t="s">
        <v>77</v>
      </c>
      <c r="S156" s="333"/>
      <c r="T156" s="333" t="s">
        <v>78</v>
      </c>
      <c r="U156" s="333"/>
    </row>
    <row r="157" spans="1:21" ht="31.5">
      <c r="A157" s="339"/>
      <c r="B157" s="339"/>
      <c r="C157" s="339"/>
      <c r="D157" s="339"/>
      <c r="E157" s="339"/>
      <c r="F157" s="340"/>
      <c r="G157" s="339"/>
      <c r="H157" s="332"/>
      <c r="I157" s="332"/>
      <c r="J157" s="101" t="s">
        <v>64</v>
      </c>
      <c r="K157" s="55" t="s">
        <v>64</v>
      </c>
      <c r="L157" s="55" t="s">
        <v>64</v>
      </c>
      <c r="M157" s="55" t="s">
        <v>64</v>
      </c>
      <c r="N157" s="185" t="s">
        <v>514</v>
      </c>
      <c r="O157" s="185" t="s">
        <v>513</v>
      </c>
      <c r="P157" s="185" t="s">
        <v>514</v>
      </c>
      <c r="Q157" s="185" t="s">
        <v>513</v>
      </c>
      <c r="R157" s="185" t="s">
        <v>514</v>
      </c>
      <c r="S157" s="185" t="s">
        <v>513</v>
      </c>
      <c r="T157" s="185" t="s">
        <v>514</v>
      </c>
      <c r="U157" s="185" t="s">
        <v>513</v>
      </c>
    </row>
    <row r="158" spans="1:21" ht="33.75">
      <c r="A158" s="316" t="s">
        <v>391</v>
      </c>
      <c r="B158" s="316"/>
      <c r="C158" s="316"/>
      <c r="D158" s="316"/>
      <c r="E158" s="316"/>
      <c r="F158" s="316"/>
      <c r="G158" s="316"/>
      <c r="H158" s="316"/>
      <c r="I158" s="316"/>
      <c r="J158" s="316"/>
      <c r="K158" s="316"/>
      <c r="L158" s="316"/>
      <c r="M158" s="316"/>
      <c r="N158" s="316"/>
      <c r="O158" s="316"/>
      <c r="P158" s="316"/>
      <c r="Q158" s="316"/>
      <c r="R158" s="316"/>
      <c r="S158" s="316"/>
      <c r="T158" s="316"/>
      <c r="U158" s="316"/>
    </row>
    <row r="159" spans="1:21" ht="79.5" customHeight="1">
      <c r="A159" s="382" t="s">
        <v>199</v>
      </c>
      <c r="B159" s="382" t="s">
        <v>200</v>
      </c>
      <c r="C159" s="69" t="s">
        <v>516</v>
      </c>
      <c r="D159" s="71">
        <v>0.03</v>
      </c>
      <c r="E159" s="87" t="s">
        <v>105</v>
      </c>
      <c r="F159" s="99" t="s">
        <v>517</v>
      </c>
      <c r="G159" s="9" t="s">
        <v>518</v>
      </c>
      <c r="H159" s="78">
        <v>43132</v>
      </c>
      <c r="I159" s="78">
        <v>43465</v>
      </c>
      <c r="J159" s="114">
        <v>0.1</v>
      </c>
      <c r="K159" s="69">
        <v>0.3</v>
      </c>
      <c r="L159" s="69">
        <v>0.6</v>
      </c>
      <c r="M159" s="69">
        <v>1</v>
      </c>
      <c r="N159" s="114">
        <v>5.5599999999999997E-2</v>
      </c>
      <c r="O159" s="114" t="s">
        <v>631</v>
      </c>
      <c r="P159" s="147">
        <v>0.62790000000000001</v>
      </c>
      <c r="Q159" s="147" t="s">
        <v>732</v>
      </c>
      <c r="R159" s="173">
        <v>0.62790000000000001</v>
      </c>
      <c r="S159" s="173" t="s">
        <v>920</v>
      </c>
      <c r="T159" s="69"/>
      <c r="U159" s="72"/>
    </row>
    <row r="160" spans="1:21" ht="79.5" customHeight="1">
      <c r="A160" s="383"/>
      <c r="B160" s="383"/>
      <c r="C160" s="69" t="s">
        <v>519</v>
      </c>
      <c r="D160" s="71">
        <v>0.03</v>
      </c>
      <c r="E160" s="87" t="s">
        <v>112</v>
      </c>
      <c r="F160" s="87">
        <v>2</v>
      </c>
      <c r="G160" s="9" t="s">
        <v>520</v>
      </c>
      <c r="H160" s="78">
        <v>43132</v>
      </c>
      <c r="I160" s="78" t="s">
        <v>521</v>
      </c>
      <c r="J160" s="114">
        <v>0.7</v>
      </c>
      <c r="K160" s="69">
        <v>1</v>
      </c>
      <c r="L160" s="69"/>
      <c r="M160" s="69"/>
      <c r="N160" s="114">
        <v>0</v>
      </c>
      <c r="O160" s="114"/>
      <c r="P160" s="147">
        <v>0</v>
      </c>
      <c r="Q160" s="147" t="s">
        <v>733</v>
      </c>
      <c r="R160" s="173">
        <v>0</v>
      </c>
      <c r="S160" s="173" t="s">
        <v>733</v>
      </c>
      <c r="T160" s="69"/>
      <c r="U160" s="72"/>
    </row>
    <row r="161" spans="1:21" ht="79.5" customHeight="1">
      <c r="A161" s="383"/>
      <c r="B161" s="383"/>
      <c r="C161" s="69" t="s">
        <v>522</v>
      </c>
      <c r="D161" s="71">
        <v>0.02</v>
      </c>
      <c r="E161" s="87" t="s">
        <v>112</v>
      </c>
      <c r="F161" s="87">
        <v>2</v>
      </c>
      <c r="G161" s="9" t="s">
        <v>523</v>
      </c>
      <c r="H161" s="78">
        <v>43221</v>
      </c>
      <c r="I161" s="78">
        <v>43465</v>
      </c>
      <c r="J161" s="114">
        <v>0</v>
      </c>
      <c r="K161" s="69">
        <v>0.1</v>
      </c>
      <c r="L161" s="69">
        <v>0.55000000000000004</v>
      </c>
      <c r="M161" s="69">
        <v>1</v>
      </c>
      <c r="N161" s="114">
        <v>0</v>
      </c>
      <c r="O161" s="114"/>
      <c r="P161" s="147">
        <v>0</v>
      </c>
      <c r="Q161" s="147" t="s">
        <v>733</v>
      </c>
      <c r="R161" s="173">
        <v>0</v>
      </c>
      <c r="S161" s="173" t="s">
        <v>733</v>
      </c>
      <c r="T161" s="69"/>
      <c r="U161" s="72"/>
    </row>
    <row r="162" spans="1:21" ht="79.5" customHeight="1">
      <c r="A162" s="383"/>
      <c r="B162" s="383"/>
      <c r="C162" s="69" t="s">
        <v>524</v>
      </c>
      <c r="D162" s="71">
        <v>0.03</v>
      </c>
      <c r="E162" s="87" t="s">
        <v>105</v>
      </c>
      <c r="F162" s="69">
        <v>0.25</v>
      </c>
      <c r="G162" s="9" t="s">
        <v>525</v>
      </c>
      <c r="H162" s="78">
        <v>43132</v>
      </c>
      <c r="I162" s="78">
        <v>43465</v>
      </c>
      <c r="J162" s="114">
        <v>0.25</v>
      </c>
      <c r="K162" s="69">
        <v>0.5</v>
      </c>
      <c r="L162" s="69">
        <v>0.75</v>
      </c>
      <c r="M162" s="69">
        <v>1</v>
      </c>
      <c r="N162" s="114">
        <v>2.0299999999999998</v>
      </c>
      <c r="O162" s="114" t="s">
        <v>632</v>
      </c>
      <c r="P162" s="147">
        <v>2.9217</v>
      </c>
      <c r="Q162" s="147" t="s">
        <v>734</v>
      </c>
      <c r="R162" s="173">
        <v>2.9217</v>
      </c>
      <c r="S162" s="173" t="s">
        <v>734</v>
      </c>
      <c r="T162" s="69"/>
      <c r="U162" s="72"/>
    </row>
    <row r="163" spans="1:21" ht="79.5" customHeight="1">
      <c r="A163" s="383"/>
      <c r="B163" s="383"/>
      <c r="C163" s="69" t="s">
        <v>526</v>
      </c>
      <c r="D163" s="71">
        <v>0.02</v>
      </c>
      <c r="E163" s="87" t="s">
        <v>105</v>
      </c>
      <c r="F163" s="69">
        <v>0.2</v>
      </c>
      <c r="G163" s="9" t="s">
        <v>527</v>
      </c>
      <c r="H163" s="78">
        <v>43132</v>
      </c>
      <c r="I163" s="78">
        <v>43465</v>
      </c>
      <c r="J163" s="114">
        <v>0.25</v>
      </c>
      <c r="K163" s="69">
        <v>0.5</v>
      </c>
      <c r="L163" s="69">
        <v>0.75</v>
      </c>
      <c r="M163" s="69">
        <v>1</v>
      </c>
      <c r="N163" s="114">
        <v>0</v>
      </c>
      <c r="O163" s="115"/>
      <c r="P163" s="147">
        <v>0.3</v>
      </c>
      <c r="Q163" s="257" t="s">
        <v>1004</v>
      </c>
      <c r="R163" s="173">
        <v>0.87</v>
      </c>
      <c r="S163" s="173" t="s">
        <v>921</v>
      </c>
      <c r="T163" s="69"/>
      <c r="U163" s="72"/>
    </row>
    <row r="164" spans="1:21" ht="79.5" customHeight="1">
      <c r="A164" s="383"/>
      <c r="B164" s="383"/>
      <c r="C164" s="69" t="s">
        <v>528</v>
      </c>
      <c r="D164" s="71">
        <v>0.03</v>
      </c>
      <c r="E164" s="87" t="s">
        <v>112</v>
      </c>
      <c r="F164" s="87">
        <v>15</v>
      </c>
      <c r="G164" s="9" t="s">
        <v>529</v>
      </c>
      <c r="H164" s="78">
        <v>43132</v>
      </c>
      <c r="I164" s="78">
        <v>43465</v>
      </c>
      <c r="J164" s="114">
        <v>0.25</v>
      </c>
      <c r="K164" s="69">
        <v>0.5</v>
      </c>
      <c r="L164" s="69">
        <v>0.75</v>
      </c>
      <c r="M164" s="69">
        <v>1</v>
      </c>
      <c r="N164" s="114">
        <v>0.1333</v>
      </c>
      <c r="O164" s="114" t="s">
        <v>633</v>
      </c>
      <c r="P164" s="147">
        <v>0.47</v>
      </c>
      <c r="Q164" s="147" t="s">
        <v>735</v>
      </c>
      <c r="R164" s="173">
        <v>0.47</v>
      </c>
      <c r="S164" s="173" t="s">
        <v>735</v>
      </c>
      <c r="T164" s="69"/>
      <c r="U164" s="72"/>
    </row>
    <row r="165" spans="1:21" ht="79.5" customHeight="1">
      <c r="A165" s="383"/>
      <c r="B165" s="383"/>
      <c r="C165" s="69" t="s">
        <v>530</v>
      </c>
      <c r="D165" s="71">
        <v>0.02</v>
      </c>
      <c r="E165" s="87" t="s">
        <v>105</v>
      </c>
      <c r="F165" s="69">
        <v>1</v>
      </c>
      <c r="G165" s="9" t="s">
        <v>531</v>
      </c>
      <c r="H165" s="78">
        <v>43132</v>
      </c>
      <c r="I165" s="78">
        <v>43465</v>
      </c>
      <c r="J165" s="114">
        <v>0.25</v>
      </c>
      <c r="K165" s="69">
        <v>0.5</v>
      </c>
      <c r="L165" s="69">
        <v>0.75</v>
      </c>
      <c r="M165" s="69">
        <v>1</v>
      </c>
      <c r="N165" s="114">
        <v>0.25</v>
      </c>
      <c r="O165" s="114" t="s">
        <v>634</v>
      </c>
      <c r="P165" s="147">
        <v>0.45</v>
      </c>
      <c r="Q165" s="147" t="s">
        <v>736</v>
      </c>
      <c r="R165" s="173">
        <v>0.73</v>
      </c>
      <c r="S165" s="173" t="s">
        <v>736</v>
      </c>
      <c r="T165" s="69"/>
      <c r="U165" s="72"/>
    </row>
    <row r="166" spans="1:21" ht="79.5" customHeight="1">
      <c r="A166" s="383"/>
      <c r="B166" s="383"/>
      <c r="C166" s="69" t="s">
        <v>532</v>
      </c>
      <c r="D166" s="71">
        <v>0.03</v>
      </c>
      <c r="E166" s="87" t="s">
        <v>112</v>
      </c>
      <c r="F166" s="87">
        <v>1</v>
      </c>
      <c r="G166" s="9" t="s">
        <v>533</v>
      </c>
      <c r="H166" s="78">
        <v>43101</v>
      </c>
      <c r="I166" s="78">
        <v>43189</v>
      </c>
      <c r="J166" s="114">
        <v>1</v>
      </c>
      <c r="K166" s="69"/>
      <c r="L166" s="69"/>
      <c r="M166" s="69"/>
      <c r="N166" s="114">
        <v>1</v>
      </c>
      <c r="O166" s="114" t="s">
        <v>635</v>
      </c>
      <c r="P166" s="147">
        <v>1</v>
      </c>
      <c r="Q166" s="147" t="s">
        <v>737</v>
      </c>
      <c r="R166" s="173">
        <v>1</v>
      </c>
      <c r="S166" s="173" t="s">
        <v>922</v>
      </c>
      <c r="T166" s="69"/>
      <c r="U166" s="72"/>
    </row>
    <row r="167" spans="1:21" ht="79.5" customHeight="1">
      <c r="A167" s="383"/>
      <c r="B167" s="383"/>
      <c r="C167" s="69" t="s">
        <v>534</v>
      </c>
      <c r="D167" s="71">
        <v>0.03</v>
      </c>
      <c r="E167" s="87" t="s">
        <v>105</v>
      </c>
      <c r="F167" s="69">
        <v>0.8</v>
      </c>
      <c r="G167" s="9" t="s">
        <v>535</v>
      </c>
      <c r="H167" s="78">
        <v>43101</v>
      </c>
      <c r="I167" s="78">
        <v>43189</v>
      </c>
      <c r="J167" s="114">
        <v>1</v>
      </c>
      <c r="K167" s="69"/>
      <c r="L167" s="69"/>
      <c r="M167" s="69"/>
      <c r="N167" s="114">
        <v>1.08</v>
      </c>
      <c r="O167" s="114" t="s">
        <v>636</v>
      </c>
      <c r="P167" s="257">
        <v>1.08</v>
      </c>
      <c r="Q167" s="147" t="s">
        <v>738</v>
      </c>
      <c r="R167" s="173">
        <v>1.02</v>
      </c>
      <c r="S167" s="173" t="s">
        <v>922</v>
      </c>
      <c r="T167" s="69"/>
      <c r="U167" s="72"/>
    </row>
    <row r="168" spans="1:21" ht="79.5" customHeight="1">
      <c r="A168" s="383"/>
      <c r="B168" s="383"/>
      <c r="C168" s="69" t="s">
        <v>536</v>
      </c>
      <c r="D168" s="71">
        <v>0.02</v>
      </c>
      <c r="E168" s="87" t="s">
        <v>105</v>
      </c>
      <c r="F168" s="69">
        <v>1</v>
      </c>
      <c r="G168" s="9" t="s">
        <v>537</v>
      </c>
      <c r="H168" s="78">
        <v>43101</v>
      </c>
      <c r="I168" s="78">
        <v>43189</v>
      </c>
      <c r="J168" s="114">
        <v>1</v>
      </c>
      <c r="K168" s="69"/>
      <c r="L168" s="69"/>
      <c r="M168" s="69"/>
      <c r="N168" s="114">
        <v>0.76919999999999999</v>
      </c>
      <c r="O168" s="114" t="s">
        <v>637</v>
      </c>
      <c r="P168" s="147">
        <v>1</v>
      </c>
      <c r="Q168" s="151" t="s">
        <v>738</v>
      </c>
      <c r="R168" s="173">
        <v>0.76919999999999999</v>
      </c>
      <c r="S168" s="173" t="s">
        <v>922</v>
      </c>
      <c r="T168" s="69"/>
      <c r="U168" s="72"/>
    </row>
    <row r="169" spans="1:21" ht="79.5" customHeight="1">
      <c r="A169" s="383"/>
      <c r="B169" s="383"/>
      <c r="C169" s="69" t="s">
        <v>538</v>
      </c>
      <c r="D169" s="71">
        <v>0.02</v>
      </c>
      <c r="E169" s="87" t="s">
        <v>105</v>
      </c>
      <c r="F169" s="69">
        <v>1</v>
      </c>
      <c r="G169" s="9" t="s">
        <v>539</v>
      </c>
      <c r="H169" s="78">
        <v>43101</v>
      </c>
      <c r="I169" s="78">
        <v>43189</v>
      </c>
      <c r="J169" s="114">
        <v>1</v>
      </c>
      <c r="K169" s="69"/>
      <c r="L169" s="69"/>
      <c r="M169" s="69"/>
      <c r="N169" s="114">
        <v>1</v>
      </c>
      <c r="O169" s="114" t="s">
        <v>638</v>
      </c>
      <c r="P169" s="147">
        <v>1</v>
      </c>
      <c r="Q169" s="147" t="s">
        <v>738</v>
      </c>
      <c r="R169" s="173">
        <v>1</v>
      </c>
      <c r="S169" s="173" t="s">
        <v>922</v>
      </c>
      <c r="T169" s="69"/>
      <c r="U169" s="72"/>
    </row>
    <row r="170" spans="1:21" ht="79.5" customHeight="1">
      <c r="A170" s="383"/>
      <c r="B170" s="383"/>
      <c r="C170" s="69" t="s">
        <v>540</v>
      </c>
      <c r="D170" s="71">
        <v>0.02</v>
      </c>
      <c r="E170" s="87" t="s">
        <v>112</v>
      </c>
      <c r="F170" s="87">
        <v>1</v>
      </c>
      <c r="G170" s="9" t="s">
        <v>541</v>
      </c>
      <c r="H170" s="78">
        <v>43191</v>
      </c>
      <c r="I170" s="78" t="s">
        <v>542</v>
      </c>
      <c r="J170" s="114">
        <v>0.5</v>
      </c>
      <c r="K170" s="69">
        <v>1</v>
      </c>
      <c r="L170" s="69"/>
      <c r="M170" s="69"/>
      <c r="N170" s="114">
        <v>0</v>
      </c>
      <c r="O170" s="114"/>
      <c r="P170" s="147">
        <v>0</v>
      </c>
      <c r="Q170" s="167" t="s">
        <v>739</v>
      </c>
      <c r="R170" s="173">
        <v>1</v>
      </c>
      <c r="S170" s="173" t="s">
        <v>922</v>
      </c>
      <c r="T170" s="69"/>
      <c r="U170" s="72"/>
    </row>
    <row r="171" spans="1:21" ht="79.5" customHeight="1">
      <c r="A171" s="383"/>
      <c r="B171" s="383"/>
      <c r="C171" s="69" t="s">
        <v>543</v>
      </c>
      <c r="D171" s="71">
        <v>0.03</v>
      </c>
      <c r="E171" s="87" t="s">
        <v>105</v>
      </c>
      <c r="F171" s="69">
        <v>0.85</v>
      </c>
      <c r="G171" s="9" t="s">
        <v>544</v>
      </c>
      <c r="H171" s="78">
        <v>43132</v>
      </c>
      <c r="I171" s="78">
        <v>43465</v>
      </c>
      <c r="J171" s="114">
        <v>0.25</v>
      </c>
      <c r="K171" s="69">
        <v>0.5</v>
      </c>
      <c r="L171" s="69">
        <v>0.75</v>
      </c>
      <c r="M171" s="69">
        <v>1</v>
      </c>
      <c r="N171" s="114">
        <v>0.1741</v>
      </c>
      <c r="O171" s="114" t="s">
        <v>639</v>
      </c>
      <c r="P171" s="147">
        <v>0.42</v>
      </c>
      <c r="Q171" s="147" t="s">
        <v>740</v>
      </c>
      <c r="R171" s="173">
        <v>0.69</v>
      </c>
      <c r="S171" s="173" t="s">
        <v>923</v>
      </c>
      <c r="T171" s="69"/>
      <c r="U171" s="72"/>
    </row>
    <row r="172" spans="1:21" ht="79.5" customHeight="1">
      <c r="A172" s="383"/>
      <c r="B172" s="383"/>
      <c r="C172" s="69" t="s">
        <v>543</v>
      </c>
      <c r="D172" s="71">
        <v>0.03</v>
      </c>
      <c r="E172" s="87" t="s">
        <v>105</v>
      </c>
      <c r="F172" s="69">
        <v>0.85</v>
      </c>
      <c r="G172" s="9" t="s">
        <v>545</v>
      </c>
      <c r="H172" s="78">
        <v>43132</v>
      </c>
      <c r="I172" s="78">
        <v>43465</v>
      </c>
      <c r="J172" s="114">
        <v>0.25</v>
      </c>
      <c r="K172" s="69">
        <v>0.5</v>
      </c>
      <c r="L172" s="69">
        <v>0.75</v>
      </c>
      <c r="M172" s="69">
        <v>1</v>
      </c>
      <c r="N172" s="114">
        <v>0.159</v>
      </c>
      <c r="O172" s="114" t="s">
        <v>640</v>
      </c>
      <c r="P172" s="147">
        <v>0.23</v>
      </c>
      <c r="Q172" s="147" t="s">
        <v>741</v>
      </c>
      <c r="R172" s="173">
        <v>0.68</v>
      </c>
      <c r="S172" s="173" t="s">
        <v>924</v>
      </c>
      <c r="T172" s="69"/>
      <c r="U172" s="72"/>
    </row>
    <row r="173" spans="1:21" ht="79.5" customHeight="1">
      <c r="A173" s="383"/>
      <c r="B173" s="383"/>
      <c r="C173" s="69" t="s">
        <v>543</v>
      </c>
      <c r="D173" s="71">
        <v>0.03</v>
      </c>
      <c r="E173" s="87" t="s">
        <v>105</v>
      </c>
      <c r="F173" s="69">
        <v>0.8</v>
      </c>
      <c r="G173" s="9" t="s">
        <v>546</v>
      </c>
      <c r="H173" s="78">
        <v>43132</v>
      </c>
      <c r="I173" s="78">
        <v>43465</v>
      </c>
      <c r="J173" s="114">
        <v>0.25</v>
      </c>
      <c r="K173" s="69">
        <v>0.5</v>
      </c>
      <c r="L173" s="69">
        <v>0.75</v>
      </c>
      <c r="M173" s="69">
        <v>1</v>
      </c>
      <c r="N173" s="114">
        <v>0.18179999999999999</v>
      </c>
      <c r="O173" s="114" t="s">
        <v>641</v>
      </c>
      <c r="P173" s="147">
        <v>0.45</v>
      </c>
      <c r="Q173" s="147" t="s">
        <v>742</v>
      </c>
      <c r="R173" s="173">
        <v>0.73</v>
      </c>
      <c r="S173" s="173" t="s">
        <v>925</v>
      </c>
      <c r="T173" s="69"/>
      <c r="U173" s="72"/>
    </row>
    <row r="174" spans="1:21" ht="79.5" customHeight="1">
      <c r="A174" s="383"/>
      <c r="B174" s="383"/>
      <c r="C174" s="69" t="s">
        <v>547</v>
      </c>
      <c r="D174" s="71">
        <v>0.03</v>
      </c>
      <c r="E174" s="87" t="s">
        <v>112</v>
      </c>
      <c r="F174" s="87">
        <v>4</v>
      </c>
      <c r="G174" s="9" t="s">
        <v>548</v>
      </c>
      <c r="H174" s="78">
        <v>43132</v>
      </c>
      <c r="I174" s="78">
        <v>43159</v>
      </c>
      <c r="J174" s="114">
        <v>1</v>
      </c>
      <c r="K174" s="69"/>
      <c r="L174" s="69"/>
      <c r="M174" s="69"/>
      <c r="N174" s="114">
        <v>0.5</v>
      </c>
      <c r="O174" s="114" t="s">
        <v>642</v>
      </c>
      <c r="P174" s="147">
        <v>1</v>
      </c>
      <c r="Q174" s="147" t="s">
        <v>743</v>
      </c>
      <c r="R174" s="173">
        <v>1</v>
      </c>
      <c r="S174" s="173" t="s">
        <v>926</v>
      </c>
      <c r="T174" s="69"/>
      <c r="U174" s="72"/>
    </row>
    <row r="175" spans="1:21" ht="110.25">
      <c r="A175" s="383"/>
      <c r="B175" s="383"/>
      <c r="C175" s="69" t="s">
        <v>549</v>
      </c>
      <c r="D175" s="71">
        <v>0.03</v>
      </c>
      <c r="E175" s="87" t="s">
        <v>112</v>
      </c>
      <c r="F175" s="87">
        <v>4</v>
      </c>
      <c r="G175" s="9" t="s">
        <v>550</v>
      </c>
      <c r="H175" s="78">
        <v>43160</v>
      </c>
      <c r="I175" s="78">
        <v>43465</v>
      </c>
      <c r="J175" s="114">
        <v>0.25</v>
      </c>
      <c r="K175" s="69">
        <v>0.5</v>
      </c>
      <c r="L175" s="69">
        <v>0.75</v>
      </c>
      <c r="M175" s="69">
        <v>1</v>
      </c>
      <c r="N175" s="114">
        <v>0</v>
      </c>
      <c r="O175" s="114" t="s">
        <v>643</v>
      </c>
      <c r="P175" s="147">
        <v>0.25</v>
      </c>
      <c r="Q175" s="147" t="s">
        <v>744</v>
      </c>
      <c r="R175" s="173">
        <v>0.7</v>
      </c>
      <c r="S175" s="173" t="s">
        <v>927</v>
      </c>
      <c r="T175" s="69"/>
      <c r="U175" s="72"/>
    </row>
    <row r="176" spans="1:21" ht="47.25">
      <c r="A176" s="383"/>
      <c r="B176" s="383"/>
      <c r="C176" s="69" t="s">
        <v>551</v>
      </c>
      <c r="D176" s="71">
        <v>0.02</v>
      </c>
      <c r="E176" s="87" t="s">
        <v>112</v>
      </c>
      <c r="F176" s="87">
        <v>1</v>
      </c>
      <c r="G176" s="9" t="s">
        <v>552</v>
      </c>
      <c r="H176" s="78">
        <v>43132</v>
      </c>
      <c r="I176" s="78">
        <v>43159</v>
      </c>
      <c r="J176" s="114">
        <v>1</v>
      </c>
      <c r="K176" s="69"/>
      <c r="L176" s="69"/>
      <c r="M176" s="69"/>
      <c r="N176" s="114">
        <v>0</v>
      </c>
      <c r="O176" s="115"/>
      <c r="P176" s="147">
        <v>1</v>
      </c>
      <c r="Q176" s="147" t="s">
        <v>745</v>
      </c>
      <c r="R176" s="173">
        <v>1</v>
      </c>
      <c r="S176" s="173" t="s">
        <v>928</v>
      </c>
      <c r="T176" s="69"/>
      <c r="U176" s="72"/>
    </row>
    <row r="177" spans="1:21" ht="110.25">
      <c r="A177" s="384"/>
      <c r="B177" s="384"/>
      <c r="C177" s="69" t="s">
        <v>553</v>
      </c>
      <c r="D177" s="71">
        <v>0.03</v>
      </c>
      <c r="E177" s="87" t="s">
        <v>105</v>
      </c>
      <c r="F177" s="69">
        <v>1</v>
      </c>
      <c r="G177" s="9" t="s">
        <v>554</v>
      </c>
      <c r="H177" s="78">
        <v>43160</v>
      </c>
      <c r="I177" s="78">
        <v>43465</v>
      </c>
      <c r="J177" s="114">
        <v>0.25</v>
      </c>
      <c r="K177" s="69">
        <v>0.5</v>
      </c>
      <c r="L177" s="69">
        <v>0.75</v>
      </c>
      <c r="M177" s="69">
        <v>1</v>
      </c>
      <c r="N177" s="114">
        <v>0</v>
      </c>
      <c r="O177" s="115"/>
      <c r="P177" s="147">
        <v>0.25</v>
      </c>
      <c r="Q177" s="147" t="s">
        <v>746</v>
      </c>
      <c r="R177" s="173">
        <v>0.7</v>
      </c>
      <c r="S177" s="173" t="s">
        <v>746</v>
      </c>
      <c r="T177" s="69"/>
      <c r="U177" s="72"/>
    </row>
    <row r="178" spans="1:21">
      <c r="A178" s="76"/>
      <c r="B178" s="76"/>
      <c r="C178" s="97"/>
      <c r="D178" s="77">
        <f>SUM(D159:D177)</f>
        <v>0.50000000000000022</v>
      </c>
      <c r="E178" s="97"/>
      <c r="F178" s="98"/>
      <c r="G178" s="97"/>
      <c r="H178" s="97"/>
      <c r="I178" s="97"/>
      <c r="J178" s="97"/>
      <c r="K178" s="97"/>
      <c r="L178" s="97"/>
      <c r="M178" s="97"/>
      <c r="N178" s="72"/>
      <c r="O178" s="72"/>
      <c r="P178" s="72"/>
      <c r="Q178" s="72"/>
      <c r="R178" s="72"/>
      <c r="S178" s="72"/>
      <c r="T178" s="72"/>
      <c r="U178" s="72"/>
    </row>
    <row r="179" spans="1:21" ht="23.25" customHeight="1">
      <c r="A179" s="316" t="s">
        <v>515</v>
      </c>
      <c r="B179" s="316"/>
      <c r="C179" s="316"/>
      <c r="D179" s="316"/>
      <c r="E179" s="316"/>
      <c r="F179" s="316"/>
      <c r="G179" s="316"/>
      <c r="H179" s="316"/>
      <c r="I179" s="316"/>
      <c r="J179" s="316"/>
      <c r="K179" s="316"/>
      <c r="L179" s="316"/>
      <c r="M179" s="316"/>
      <c r="N179" s="316"/>
      <c r="O179" s="316"/>
      <c r="P179" s="316"/>
      <c r="Q179" s="316"/>
      <c r="R179" s="316"/>
      <c r="S179" s="316"/>
      <c r="T179" s="316"/>
      <c r="U179" s="316"/>
    </row>
    <row r="180" spans="1:21" ht="15.75" customHeight="1">
      <c r="A180" s="339" t="s">
        <v>103</v>
      </c>
      <c r="B180" s="339" t="s">
        <v>74</v>
      </c>
      <c r="C180" s="339" t="s">
        <v>65</v>
      </c>
      <c r="D180" s="339" t="s">
        <v>66</v>
      </c>
      <c r="E180" s="339" t="s">
        <v>67</v>
      </c>
      <c r="F180" s="340" t="s">
        <v>68</v>
      </c>
      <c r="G180" s="339" t="s">
        <v>69</v>
      </c>
      <c r="H180" s="341" t="s">
        <v>70</v>
      </c>
      <c r="I180" s="341"/>
      <c r="J180" s="341" t="s">
        <v>79</v>
      </c>
      <c r="K180" s="341"/>
      <c r="L180" s="341"/>
      <c r="M180" s="341"/>
      <c r="N180" s="331" t="s">
        <v>511</v>
      </c>
      <c r="O180" s="331"/>
      <c r="P180" s="331"/>
      <c r="Q180" s="331"/>
      <c r="R180" s="331"/>
      <c r="S180" s="331"/>
      <c r="T180" s="331"/>
      <c r="U180" s="331"/>
    </row>
    <row r="181" spans="1:21" ht="15.75">
      <c r="A181" s="339"/>
      <c r="B181" s="339"/>
      <c r="C181" s="339"/>
      <c r="D181" s="339"/>
      <c r="E181" s="339"/>
      <c r="F181" s="340"/>
      <c r="G181" s="339"/>
      <c r="H181" s="332" t="s">
        <v>71</v>
      </c>
      <c r="I181" s="332" t="s">
        <v>197</v>
      </c>
      <c r="J181" s="15" t="s">
        <v>75</v>
      </c>
      <c r="K181" s="15" t="s">
        <v>76</v>
      </c>
      <c r="L181" s="15" t="s">
        <v>77</v>
      </c>
      <c r="M181" s="15" t="s">
        <v>78</v>
      </c>
      <c r="N181" s="333" t="s">
        <v>75</v>
      </c>
      <c r="O181" s="333"/>
      <c r="P181" s="333" t="s">
        <v>76</v>
      </c>
      <c r="Q181" s="333"/>
      <c r="R181" s="333" t="s">
        <v>77</v>
      </c>
      <c r="S181" s="333"/>
      <c r="T181" s="333" t="s">
        <v>78</v>
      </c>
      <c r="U181" s="333"/>
    </row>
    <row r="182" spans="1:21" ht="31.5">
      <c r="A182" s="339"/>
      <c r="B182" s="339"/>
      <c r="C182" s="339"/>
      <c r="D182" s="339"/>
      <c r="E182" s="339"/>
      <c r="F182" s="340"/>
      <c r="G182" s="339"/>
      <c r="H182" s="332"/>
      <c r="I182" s="332"/>
      <c r="J182" s="101" t="s">
        <v>64</v>
      </c>
      <c r="K182" s="55" t="s">
        <v>64</v>
      </c>
      <c r="L182" s="55" t="s">
        <v>64</v>
      </c>
      <c r="M182" s="55" t="s">
        <v>64</v>
      </c>
      <c r="N182" s="185" t="s">
        <v>514</v>
      </c>
      <c r="O182" s="185" t="s">
        <v>513</v>
      </c>
      <c r="P182" s="185" t="s">
        <v>514</v>
      </c>
      <c r="Q182" s="185" t="s">
        <v>513</v>
      </c>
      <c r="R182" s="185" t="s">
        <v>514</v>
      </c>
      <c r="S182" s="185" t="s">
        <v>513</v>
      </c>
      <c r="T182" s="185" t="s">
        <v>514</v>
      </c>
      <c r="U182" s="185" t="s">
        <v>513</v>
      </c>
    </row>
    <row r="183" spans="1:21" ht="33.75">
      <c r="A183" s="316" t="s">
        <v>392</v>
      </c>
      <c r="B183" s="316"/>
      <c r="C183" s="316"/>
      <c r="D183" s="316"/>
      <c r="E183" s="316"/>
      <c r="F183" s="316"/>
      <c r="G183" s="316"/>
      <c r="H183" s="316"/>
      <c r="I183" s="316"/>
      <c r="J183" s="316"/>
      <c r="K183" s="316"/>
      <c r="L183" s="316"/>
      <c r="M183" s="316"/>
      <c r="N183" s="316"/>
      <c r="O183" s="316"/>
      <c r="P183" s="316"/>
      <c r="Q183" s="316"/>
      <c r="R183" s="316"/>
      <c r="S183" s="316"/>
      <c r="T183" s="316"/>
      <c r="U183" s="316"/>
    </row>
    <row r="184" spans="1:21" ht="165">
      <c r="A184" s="371"/>
      <c r="B184" s="371"/>
      <c r="C184" s="46" t="s">
        <v>393</v>
      </c>
      <c r="D184" s="29">
        <v>0.25</v>
      </c>
      <c r="E184" s="60" t="s">
        <v>105</v>
      </c>
      <c r="F184" s="33">
        <v>0.9</v>
      </c>
      <c r="G184" s="47" t="s">
        <v>394</v>
      </c>
      <c r="H184" s="23">
        <v>43102</v>
      </c>
      <c r="I184" s="23">
        <v>43464</v>
      </c>
      <c r="J184" s="102"/>
      <c r="K184" s="32">
        <v>0.3</v>
      </c>
      <c r="L184" s="60"/>
      <c r="M184" s="33">
        <v>0.9</v>
      </c>
      <c r="N184" s="141">
        <v>0.2</v>
      </c>
      <c r="O184" s="47" t="s">
        <v>644</v>
      </c>
      <c r="P184" s="170">
        <v>0.3</v>
      </c>
      <c r="Q184" s="47" t="s">
        <v>782</v>
      </c>
      <c r="R184" s="141">
        <v>0.5</v>
      </c>
      <c r="S184" s="47" t="s">
        <v>930</v>
      </c>
      <c r="T184" s="77">
        <v>0.9</v>
      </c>
      <c r="U184" s="135" t="s">
        <v>1051</v>
      </c>
    </row>
    <row r="185" spans="1:21" ht="318.75">
      <c r="A185" s="371"/>
      <c r="B185" s="371"/>
      <c r="C185" s="48" t="s">
        <v>395</v>
      </c>
      <c r="D185" s="29">
        <v>0.25</v>
      </c>
      <c r="E185" s="60" t="s">
        <v>105</v>
      </c>
      <c r="F185" s="33">
        <v>0.8</v>
      </c>
      <c r="G185" s="52" t="s">
        <v>396</v>
      </c>
      <c r="H185" s="23">
        <v>43102</v>
      </c>
      <c r="I185" s="23">
        <v>43464</v>
      </c>
      <c r="J185" s="102"/>
      <c r="K185" s="32">
        <v>0.3</v>
      </c>
      <c r="L185" s="60"/>
      <c r="M185" s="33">
        <v>0.8</v>
      </c>
      <c r="N185" s="141">
        <v>0.5</v>
      </c>
      <c r="O185" s="47" t="s">
        <v>645</v>
      </c>
      <c r="P185" s="170">
        <v>0.6</v>
      </c>
      <c r="Q185" s="47" t="s">
        <v>783</v>
      </c>
      <c r="R185" s="180">
        <v>1</v>
      </c>
      <c r="S185" s="47" t="s">
        <v>929</v>
      </c>
      <c r="T185" s="216">
        <v>0.8</v>
      </c>
      <c r="U185" s="135" t="s">
        <v>1052</v>
      </c>
    </row>
    <row r="186" spans="1:21">
      <c r="A186" s="76"/>
      <c r="B186" s="76"/>
      <c r="C186" s="76"/>
      <c r="D186" s="77">
        <f>SUM(D184:D185)</f>
        <v>0.5</v>
      </c>
      <c r="E186" s="76"/>
      <c r="F186" s="59"/>
      <c r="G186" s="76"/>
      <c r="H186" s="76"/>
      <c r="I186" s="76"/>
      <c r="J186" s="76"/>
      <c r="K186" s="76"/>
      <c r="L186" s="76"/>
      <c r="M186" s="76"/>
      <c r="N186" s="72"/>
      <c r="O186" s="72"/>
      <c r="P186" s="72"/>
      <c r="Q186" s="72"/>
      <c r="R186" s="72"/>
      <c r="S186" s="72"/>
      <c r="T186" s="72"/>
      <c r="U186" s="72"/>
    </row>
    <row r="187" spans="1:21" ht="33.75">
      <c r="A187" s="316" t="s">
        <v>515</v>
      </c>
      <c r="B187" s="316"/>
      <c r="C187" s="316"/>
      <c r="D187" s="316"/>
      <c r="E187" s="316"/>
      <c r="F187" s="316"/>
      <c r="G187" s="316"/>
      <c r="H187" s="316"/>
      <c r="I187" s="316"/>
      <c r="J187" s="316"/>
      <c r="K187" s="316"/>
      <c r="L187" s="316"/>
      <c r="M187" s="316"/>
      <c r="N187" s="316"/>
      <c r="O187" s="316"/>
      <c r="P187" s="316"/>
      <c r="Q187" s="316"/>
      <c r="R187" s="316"/>
      <c r="S187" s="316"/>
      <c r="T187" s="316"/>
      <c r="U187" s="316"/>
    </row>
    <row r="188" spans="1:21" ht="18.75">
      <c r="A188" s="339" t="s">
        <v>103</v>
      </c>
      <c r="B188" s="339" t="s">
        <v>74</v>
      </c>
      <c r="C188" s="339" t="s">
        <v>65</v>
      </c>
      <c r="D188" s="339" t="s">
        <v>66</v>
      </c>
      <c r="E188" s="339" t="s">
        <v>67</v>
      </c>
      <c r="F188" s="340" t="s">
        <v>68</v>
      </c>
      <c r="G188" s="339" t="s">
        <v>69</v>
      </c>
      <c r="H188" s="341" t="s">
        <v>70</v>
      </c>
      <c r="I188" s="341"/>
      <c r="J188" s="341" t="s">
        <v>79</v>
      </c>
      <c r="K188" s="341"/>
      <c r="L188" s="341"/>
      <c r="M188" s="341"/>
      <c r="N188" s="331" t="s">
        <v>511</v>
      </c>
      <c r="O188" s="331"/>
      <c r="P188" s="331"/>
      <c r="Q188" s="331"/>
      <c r="R188" s="331"/>
      <c r="S188" s="331"/>
      <c r="T188" s="331"/>
      <c r="U188" s="331"/>
    </row>
    <row r="189" spans="1:21" ht="15.75">
      <c r="A189" s="339"/>
      <c r="B189" s="339"/>
      <c r="C189" s="339"/>
      <c r="D189" s="339"/>
      <c r="E189" s="339"/>
      <c r="F189" s="340"/>
      <c r="G189" s="339"/>
      <c r="H189" s="332" t="s">
        <v>71</v>
      </c>
      <c r="I189" s="332" t="s">
        <v>197</v>
      </c>
      <c r="J189" s="15" t="s">
        <v>75</v>
      </c>
      <c r="K189" s="15" t="s">
        <v>76</v>
      </c>
      <c r="L189" s="15" t="s">
        <v>77</v>
      </c>
      <c r="M189" s="15" t="s">
        <v>78</v>
      </c>
      <c r="N189" s="333" t="s">
        <v>75</v>
      </c>
      <c r="O189" s="333"/>
      <c r="P189" s="333" t="s">
        <v>76</v>
      </c>
      <c r="Q189" s="333"/>
      <c r="R189" s="333" t="s">
        <v>77</v>
      </c>
      <c r="S189" s="333"/>
      <c r="T189" s="333" t="s">
        <v>78</v>
      </c>
      <c r="U189" s="333"/>
    </row>
    <row r="190" spans="1:21" ht="31.5">
      <c r="A190" s="339"/>
      <c r="B190" s="339"/>
      <c r="C190" s="339"/>
      <c r="D190" s="339"/>
      <c r="E190" s="339"/>
      <c r="F190" s="340"/>
      <c r="G190" s="339"/>
      <c r="H190" s="332"/>
      <c r="I190" s="332"/>
      <c r="J190" s="101" t="s">
        <v>64</v>
      </c>
      <c r="K190" s="55" t="s">
        <v>64</v>
      </c>
      <c r="L190" s="55" t="s">
        <v>64</v>
      </c>
      <c r="M190" s="55" t="s">
        <v>64</v>
      </c>
      <c r="N190" s="185" t="s">
        <v>514</v>
      </c>
      <c r="O190" s="185" t="s">
        <v>513</v>
      </c>
      <c r="P190" s="185" t="s">
        <v>514</v>
      </c>
      <c r="Q190" s="185" t="s">
        <v>513</v>
      </c>
      <c r="R190" s="185" t="s">
        <v>514</v>
      </c>
      <c r="S190" s="185" t="s">
        <v>513</v>
      </c>
      <c r="T190" s="185" t="s">
        <v>514</v>
      </c>
      <c r="U190" s="185" t="s">
        <v>513</v>
      </c>
    </row>
    <row r="191" spans="1:21" ht="33.75">
      <c r="A191" s="316" t="s">
        <v>397</v>
      </c>
      <c r="B191" s="316"/>
      <c r="C191" s="316"/>
      <c r="D191" s="316"/>
      <c r="E191" s="316"/>
      <c r="F191" s="316"/>
      <c r="G191" s="316"/>
      <c r="H191" s="316"/>
      <c r="I191" s="316"/>
      <c r="J191" s="316"/>
      <c r="K191" s="316"/>
      <c r="L191" s="316"/>
      <c r="M191" s="316"/>
      <c r="N191" s="316"/>
      <c r="O191" s="316"/>
      <c r="P191" s="316"/>
      <c r="Q191" s="316"/>
      <c r="R191" s="316"/>
      <c r="S191" s="316"/>
      <c r="T191" s="316"/>
      <c r="U191" s="316"/>
    </row>
    <row r="192" spans="1:21" ht="409.5">
      <c r="A192" s="369" t="s">
        <v>199</v>
      </c>
      <c r="B192" s="319" t="s">
        <v>200</v>
      </c>
      <c r="C192" s="34" t="s">
        <v>398</v>
      </c>
      <c r="D192" s="35">
        <v>0.09</v>
      </c>
      <c r="E192" s="60" t="s">
        <v>112</v>
      </c>
      <c r="F192" s="60">
        <v>4</v>
      </c>
      <c r="G192" s="60" t="s">
        <v>399</v>
      </c>
      <c r="H192" s="30">
        <v>43101</v>
      </c>
      <c r="I192" s="30">
        <v>43465</v>
      </c>
      <c r="J192" s="35">
        <v>0.25</v>
      </c>
      <c r="K192" s="31">
        <v>2</v>
      </c>
      <c r="L192" s="31">
        <v>3</v>
      </c>
      <c r="M192" s="31">
        <v>4</v>
      </c>
      <c r="N192" s="43">
        <v>0.5</v>
      </c>
      <c r="O192" s="134" t="s">
        <v>646</v>
      </c>
      <c r="P192" s="43">
        <v>0.75</v>
      </c>
      <c r="Q192" s="165" t="s">
        <v>726</v>
      </c>
      <c r="R192" s="201">
        <v>1</v>
      </c>
      <c r="S192" s="202" t="s">
        <v>931</v>
      </c>
      <c r="T192" s="43">
        <v>1</v>
      </c>
      <c r="U192" s="135" t="s">
        <v>1045</v>
      </c>
    </row>
    <row r="193" spans="1:21" ht="63">
      <c r="A193" s="369"/>
      <c r="B193" s="319"/>
      <c r="C193" s="60" t="s">
        <v>400</v>
      </c>
      <c r="D193" s="35">
        <v>0.04</v>
      </c>
      <c r="E193" s="60" t="s">
        <v>112</v>
      </c>
      <c r="F193" s="60">
        <v>1</v>
      </c>
      <c r="G193" s="60" t="s">
        <v>401</v>
      </c>
      <c r="H193" s="30">
        <v>43101</v>
      </c>
      <c r="I193" s="30">
        <v>43465</v>
      </c>
      <c r="J193" s="35">
        <v>0.25</v>
      </c>
      <c r="K193" s="36">
        <v>0.5</v>
      </c>
      <c r="L193" s="36">
        <v>0.75</v>
      </c>
      <c r="M193" s="36">
        <v>1</v>
      </c>
      <c r="N193" s="43">
        <v>0.25</v>
      </c>
      <c r="O193" s="134" t="s">
        <v>647</v>
      </c>
      <c r="P193" s="43">
        <v>0.5</v>
      </c>
      <c r="Q193" s="166" t="s">
        <v>727</v>
      </c>
      <c r="R193" s="201">
        <v>0.75</v>
      </c>
      <c r="S193" s="203" t="s">
        <v>727</v>
      </c>
      <c r="T193" s="43">
        <v>1</v>
      </c>
      <c r="U193" s="142" t="s">
        <v>1046</v>
      </c>
    </row>
    <row r="194" spans="1:21" ht="89.25">
      <c r="A194" s="369"/>
      <c r="B194" s="319"/>
      <c r="C194" s="60" t="s">
        <v>402</v>
      </c>
      <c r="D194" s="35">
        <v>0.09</v>
      </c>
      <c r="E194" s="60" t="s">
        <v>112</v>
      </c>
      <c r="F194" s="60">
        <v>2</v>
      </c>
      <c r="G194" s="60" t="s">
        <v>403</v>
      </c>
      <c r="H194" s="30">
        <v>43101</v>
      </c>
      <c r="I194" s="30">
        <v>43373</v>
      </c>
      <c r="J194" s="35">
        <v>0.5</v>
      </c>
      <c r="K194" s="31"/>
      <c r="L194" s="31">
        <v>2</v>
      </c>
      <c r="M194" s="31"/>
      <c r="N194" s="43">
        <v>0</v>
      </c>
      <c r="O194" s="142" t="s">
        <v>648</v>
      </c>
      <c r="P194" s="43">
        <v>0</v>
      </c>
      <c r="Q194" s="142" t="s">
        <v>648</v>
      </c>
      <c r="R194" s="201">
        <v>0</v>
      </c>
      <c r="S194" s="136" t="s">
        <v>648</v>
      </c>
      <c r="T194" s="115"/>
      <c r="U194" s="115"/>
    </row>
    <row r="195" spans="1:21" ht="229.5">
      <c r="A195" s="369"/>
      <c r="B195" s="319"/>
      <c r="C195" s="60" t="s">
        <v>404</v>
      </c>
      <c r="D195" s="35">
        <v>0.09</v>
      </c>
      <c r="E195" s="60" t="s">
        <v>112</v>
      </c>
      <c r="F195" s="60">
        <v>0.4</v>
      </c>
      <c r="G195" s="60" t="s">
        <v>405</v>
      </c>
      <c r="H195" s="30">
        <v>43101</v>
      </c>
      <c r="I195" s="30">
        <v>43465</v>
      </c>
      <c r="J195" s="35">
        <v>0.25</v>
      </c>
      <c r="K195" s="37">
        <v>0.2</v>
      </c>
      <c r="L195" s="37">
        <v>0.3</v>
      </c>
      <c r="M195" s="37">
        <v>0.4</v>
      </c>
      <c r="N195" s="43">
        <v>0.25</v>
      </c>
      <c r="O195" s="134" t="s">
        <v>649</v>
      </c>
      <c r="P195" s="43">
        <v>0.5</v>
      </c>
      <c r="Q195" s="135" t="s">
        <v>728</v>
      </c>
      <c r="R195" s="201">
        <v>0.75</v>
      </c>
      <c r="S195" s="202" t="s">
        <v>932</v>
      </c>
      <c r="T195" s="43">
        <v>1</v>
      </c>
      <c r="U195" s="135" t="s">
        <v>1047</v>
      </c>
    </row>
    <row r="196" spans="1:21" ht="306">
      <c r="A196" s="369"/>
      <c r="B196" s="319"/>
      <c r="C196" s="60" t="s">
        <v>406</v>
      </c>
      <c r="D196" s="35">
        <v>0.04</v>
      </c>
      <c r="E196" s="60" t="s">
        <v>112</v>
      </c>
      <c r="F196" s="60">
        <v>4</v>
      </c>
      <c r="G196" s="60" t="s">
        <v>407</v>
      </c>
      <c r="H196" s="30">
        <v>43101</v>
      </c>
      <c r="I196" s="30">
        <v>43465</v>
      </c>
      <c r="J196" s="35">
        <v>0.25</v>
      </c>
      <c r="K196" s="31">
        <v>2</v>
      </c>
      <c r="L196" s="31">
        <v>3</v>
      </c>
      <c r="M196" s="31">
        <v>4</v>
      </c>
      <c r="N196" s="43">
        <v>0.25</v>
      </c>
      <c r="O196" s="142" t="s">
        <v>650</v>
      </c>
      <c r="P196" s="43">
        <v>0.75</v>
      </c>
      <c r="Q196" s="134" t="s">
        <v>729</v>
      </c>
      <c r="R196" s="204">
        <v>1</v>
      </c>
      <c r="S196" s="202" t="s">
        <v>933</v>
      </c>
      <c r="T196" s="268">
        <v>1</v>
      </c>
      <c r="U196" s="135" t="s">
        <v>933</v>
      </c>
    </row>
    <row r="197" spans="1:21" ht="140.25">
      <c r="A197" s="369"/>
      <c r="B197" s="319"/>
      <c r="C197" s="60" t="s">
        <v>408</v>
      </c>
      <c r="D197" s="35">
        <v>0.06</v>
      </c>
      <c r="E197" s="60" t="s">
        <v>112</v>
      </c>
      <c r="F197" s="60">
        <v>6</v>
      </c>
      <c r="G197" s="60" t="s">
        <v>409</v>
      </c>
      <c r="H197" s="30">
        <v>43101</v>
      </c>
      <c r="I197" s="30">
        <v>43465</v>
      </c>
      <c r="J197" s="35">
        <v>0.25</v>
      </c>
      <c r="K197" s="31">
        <v>3</v>
      </c>
      <c r="L197" s="31">
        <v>4</v>
      </c>
      <c r="M197" s="31">
        <v>6</v>
      </c>
      <c r="N197" s="43">
        <v>0.5</v>
      </c>
      <c r="O197" s="142" t="s">
        <v>651</v>
      </c>
      <c r="P197" s="43">
        <v>0.5</v>
      </c>
      <c r="Q197" s="165" t="s">
        <v>730</v>
      </c>
      <c r="R197" s="201">
        <v>1</v>
      </c>
      <c r="S197" s="202" t="s">
        <v>934</v>
      </c>
      <c r="T197" s="43">
        <v>1</v>
      </c>
      <c r="U197" s="135" t="s">
        <v>934</v>
      </c>
    </row>
    <row r="198" spans="1:21" ht="229.5">
      <c r="A198" s="369"/>
      <c r="B198" s="319"/>
      <c r="C198" s="60" t="s">
        <v>410</v>
      </c>
      <c r="D198" s="35">
        <v>0.09</v>
      </c>
      <c r="E198" s="60" t="s">
        <v>112</v>
      </c>
      <c r="F198" s="60">
        <v>4</v>
      </c>
      <c r="G198" s="60" t="s">
        <v>411</v>
      </c>
      <c r="H198" s="30">
        <v>43101</v>
      </c>
      <c r="I198" s="30">
        <v>43465</v>
      </c>
      <c r="J198" s="35">
        <v>0.25</v>
      </c>
      <c r="K198" s="31">
        <v>2</v>
      </c>
      <c r="L198" s="31">
        <v>3</v>
      </c>
      <c r="M198" s="31">
        <v>4</v>
      </c>
      <c r="N198" s="43">
        <v>0.25</v>
      </c>
      <c r="O198" s="142" t="s">
        <v>652</v>
      </c>
      <c r="P198" s="43">
        <v>0.75</v>
      </c>
      <c r="Q198" s="135" t="s">
        <v>731</v>
      </c>
      <c r="R198" s="201">
        <v>0.85</v>
      </c>
      <c r="S198" s="202" t="s">
        <v>935</v>
      </c>
      <c r="T198" s="43">
        <v>1</v>
      </c>
      <c r="U198" s="135" t="s">
        <v>1048</v>
      </c>
    </row>
    <row r="199" spans="1:21">
      <c r="A199" s="76"/>
      <c r="B199" s="76"/>
      <c r="C199" s="76"/>
      <c r="D199" s="77">
        <f>SUM(D192:D198)</f>
        <v>0.5</v>
      </c>
      <c r="E199" s="76"/>
      <c r="F199" s="59"/>
      <c r="G199" s="76"/>
      <c r="H199" s="76"/>
      <c r="I199" s="76"/>
      <c r="J199" s="76"/>
      <c r="K199" s="76"/>
      <c r="L199" s="76"/>
      <c r="M199" s="76"/>
      <c r="N199" s="72"/>
      <c r="O199" s="72"/>
      <c r="P199" s="72"/>
      <c r="Q199" s="72"/>
      <c r="R199" s="72"/>
      <c r="S199" s="72"/>
      <c r="T199" s="72"/>
      <c r="U199" s="72"/>
    </row>
    <row r="200" spans="1:21" ht="33.75">
      <c r="A200" s="316" t="s">
        <v>515</v>
      </c>
      <c r="B200" s="316"/>
      <c r="C200" s="316"/>
      <c r="D200" s="316"/>
      <c r="E200" s="316"/>
      <c r="F200" s="316"/>
      <c r="G200" s="316"/>
      <c r="H200" s="316"/>
      <c r="I200" s="316"/>
      <c r="J200" s="316"/>
      <c r="K200" s="316"/>
      <c r="L200" s="316"/>
      <c r="M200" s="316"/>
      <c r="N200" s="316"/>
      <c r="O200" s="316"/>
      <c r="P200" s="316"/>
      <c r="Q200" s="316"/>
      <c r="R200" s="316"/>
      <c r="S200" s="316"/>
      <c r="T200" s="316"/>
      <c r="U200" s="316"/>
    </row>
    <row r="201" spans="1:21" ht="18.75">
      <c r="A201" s="339" t="s">
        <v>103</v>
      </c>
      <c r="B201" s="339" t="s">
        <v>74</v>
      </c>
      <c r="C201" s="339" t="s">
        <v>65</v>
      </c>
      <c r="D201" s="339" t="s">
        <v>66</v>
      </c>
      <c r="E201" s="339" t="s">
        <v>67</v>
      </c>
      <c r="F201" s="340" t="s">
        <v>68</v>
      </c>
      <c r="G201" s="339" t="s">
        <v>69</v>
      </c>
      <c r="H201" s="341" t="s">
        <v>70</v>
      </c>
      <c r="I201" s="341"/>
      <c r="J201" s="341" t="s">
        <v>79</v>
      </c>
      <c r="K201" s="341"/>
      <c r="L201" s="341"/>
      <c r="M201" s="341"/>
      <c r="N201" s="331" t="s">
        <v>511</v>
      </c>
      <c r="O201" s="331"/>
      <c r="P201" s="331"/>
      <c r="Q201" s="331"/>
      <c r="R201" s="331"/>
      <c r="S201" s="331"/>
      <c r="T201" s="331"/>
      <c r="U201" s="331"/>
    </row>
    <row r="202" spans="1:21" ht="15.75">
      <c r="A202" s="339"/>
      <c r="B202" s="339"/>
      <c r="C202" s="339"/>
      <c r="D202" s="339"/>
      <c r="E202" s="339"/>
      <c r="F202" s="340"/>
      <c r="G202" s="339"/>
      <c r="H202" s="332" t="s">
        <v>71</v>
      </c>
      <c r="I202" s="332" t="s">
        <v>197</v>
      </c>
      <c r="J202" s="15" t="s">
        <v>75</v>
      </c>
      <c r="K202" s="15" t="s">
        <v>76</v>
      </c>
      <c r="L202" s="15" t="s">
        <v>77</v>
      </c>
      <c r="M202" s="15" t="s">
        <v>78</v>
      </c>
      <c r="N202" s="333" t="s">
        <v>75</v>
      </c>
      <c r="O202" s="333"/>
      <c r="P202" s="333" t="s">
        <v>76</v>
      </c>
      <c r="Q202" s="333"/>
      <c r="R202" s="333" t="s">
        <v>77</v>
      </c>
      <c r="S202" s="333"/>
      <c r="T202" s="333" t="s">
        <v>78</v>
      </c>
      <c r="U202" s="333"/>
    </row>
    <row r="203" spans="1:21" ht="31.5">
      <c r="A203" s="339"/>
      <c r="B203" s="339"/>
      <c r="C203" s="339"/>
      <c r="D203" s="339"/>
      <c r="E203" s="339"/>
      <c r="F203" s="340"/>
      <c r="G203" s="339"/>
      <c r="H203" s="332"/>
      <c r="I203" s="332"/>
      <c r="J203" s="101" t="s">
        <v>64</v>
      </c>
      <c r="K203" s="55" t="s">
        <v>64</v>
      </c>
      <c r="L203" s="55" t="s">
        <v>64</v>
      </c>
      <c r="M203" s="55" t="s">
        <v>64</v>
      </c>
      <c r="N203" s="185" t="s">
        <v>514</v>
      </c>
      <c r="O203" s="185" t="s">
        <v>513</v>
      </c>
      <c r="P203" s="185" t="s">
        <v>514</v>
      </c>
      <c r="Q203" s="185" t="s">
        <v>513</v>
      </c>
      <c r="R203" s="185" t="s">
        <v>514</v>
      </c>
      <c r="S203" s="185" t="s">
        <v>513</v>
      </c>
      <c r="T203" s="185" t="s">
        <v>514</v>
      </c>
      <c r="U203" s="185" t="s">
        <v>513</v>
      </c>
    </row>
    <row r="204" spans="1:21" ht="33.75">
      <c r="A204" s="316" t="s">
        <v>412</v>
      </c>
      <c r="B204" s="316"/>
      <c r="C204" s="316"/>
      <c r="D204" s="316"/>
      <c r="E204" s="316"/>
      <c r="F204" s="316"/>
      <c r="G204" s="316"/>
      <c r="H204" s="316"/>
      <c r="I204" s="316"/>
      <c r="J204" s="316"/>
      <c r="K204" s="316"/>
      <c r="L204" s="316"/>
      <c r="M204" s="316"/>
      <c r="N204" s="316"/>
      <c r="O204" s="316"/>
      <c r="P204" s="316"/>
      <c r="Q204" s="316"/>
      <c r="R204" s="316"/>
      <c r="S204" s="316"/>
      <c r="T204" s="316"/>
      <c r="U204" s="316"/>
    </row>
    <row r="205" spans="1:21" ht="173.25">
      <c r="A205" s="324" t="s">
        <v>199</v>
      </c>
      <c r="B205" s="324" t="s">
        <v>200</v>
      </c>
      <c r="C205" s="107" t="s">
        <v>413</v>
      </c>
      <c r="D205" s="38">
        <v>1.125E-2</v>
      </c>
      <c r="E205" s="25" t="s">
        <v>112</v>
      </c>
      <c r="F205" s="16">
        <v>150</v>
      </c>
      <c r="G205" s="60" t="s">
        <v>414</v>
      </c>
      <c r="H205" s="30">
        <v>43101</v>
      </c>
      <c r="I205" s="30">
        <v>43404</v>
      </c>
      <c r="J205" s="25">
        <v>0.3</v>
      </c>
      <c r="K205" s="25">
        <v>0.6</v>
      </c>
      <c r="L205" s="25">
        <v>0.9</v>
      </c>
      <c r="M205" s="25">
        <v>1</v>
      </c>
      <c r="N205" s="25">
        <v>0.81</v>
      </c>
      <c r="O205" s="102" t="s">
        <v>653</v>
      </c>
      <c r="P205" s="153">
        <f>96/150</f>
        <v>0.64</v>
      </c>
      <c r="Q205" s="81" t="s">
        <v>696</v>
      </c>
      <c r="R205" s="205">
        <v>1</v>
      </c>
      <c r="S205" s="206" t="s">
        <v>936</v>
      </c>
      <c r="T205" s="284">
        <v>1</v>
      </c>
      <c r="U205" s="262" t="s">
        <v>1015</v>
      </c>
    </row>
    <row r="206" spans="1:21" ht="60">
      <c r="A206" s="354"/>
      <c r="B206" s="354"/>
      <c r="C206" s="107" t="s">
        <v>415</v>
      </c>
      <c r="D206" s="38">
        <v>6.2500000000000003E-3</v>
      </c>
      <c r="E206" s="25" t="s">
        <v>112</v>
      </c>
      <c r="F206" s="16">
        <v>1</v>
      </c>
      <c r="G206" s="319" t="s">
        <v>416</v>
      </c>
      <c r="H206" s="385">
        <v>43101</v>
      </c>
      <c r="I206" s="385">
        <v>43220</v>
      </c>
      <c r="J206" s="25">
        <v>0.75</v>
      </c>
      <c r="K206" s="25">
        <v>1</v>
      </c>
      <c r="L206" s="25"/>
      <c r="M206" s="25"/>
      <c r="N206" s="25">
        <v>0.4</v>
      </c>
      <c r="O206" s="319" t="s">
        <v>654</v>
      </c>
      <c r="P206" s="154">
        <v>1</v>
      </c>
      <c r="Q206" s="377" t="s">
        <v>697</v>
      </c>
      <c r="R206" s="205">
        <v>0.8</v>
      </c>
      <c r="S206" s="329" t="s">
        <v>937</v>
      </c>
      <c r="T206" s="284">
        <v>1</v>
      </c>
      <c r="U206" s="262" t="s">
        <v>1016</v>
      </c>
    </row>
    <row r="207" spans="1:21" ht="89.25">
      <c r="A207" s="354"/>
      <c r="B207" s="354"/>
      <c r="C207" s="107" t="s">
        <v>417</v>
      </c>
      <c r="D207" s="38">
        <v>6.2500000000000003E-3</v>
      </c>
      <c r="E207" s="25" t="s">
        <v>112</v>
      </c>
      <c r="F207" s="16">
        <v>3</v>
      </c>
      <c r="G207" s="319"/>
      <c r="H207" s="385"/>
      <c r="I207" s="385"/>
      <c r="J207" s="25">
        <v>0.75</v>
      </c>
      <c r="K207" s="25">
        <v>1</v>
      </c>
      <c r="L207" s="25"/>
      <c r="M207" s="25"/>
      <c r="N207" s="25">
        <v>0.4</v>
      </c>
      <c r="O207" s="319" t="s">
        <v>655</v>
      </c>
      <c r="P207" s="154">
        <v>0.75</v>
      </c>
      <c r="Q207" s="378"/>
      <c r="R207" s="205">
        <v>0.8</v>
      </c>
      <c r="S207" s="330"/>
      <c r="T207" s="284">
        <v>1</v>
      </c>
      <c r="U207" s="262" t="s">
        <v>1017</v>
      </c>
    </row>
    <row r="208" spans="1:21" ht="126">
      <c r="A208" s="354"/>
      <c r="B208" s="354"/>
      <c r="C208" s="107" t="s">
        <v>418</v>
      </c>
      <c r="D208" s="38">
        <v>1.125E-2</v>
      </c>
      <c r="E208" s="25" t="s">
        <v>112</v>
      </c>
      <c r="F208" s="16">
        <v>3</v>
      </c>
      <c r="G208" s="60" t="s">
        <v>419</v>
      </c>
      <c r="H208" s="30">
        <v>43101</v>
      </c>
      <c r="I208" s="30">
        <v>43251</v>
      </c>
      <c r="J208" s="25">
        <v>0.6</v>
      </c>
      <c r="K208" s="25">
        <v>1</v>
      </c>
      <c r="L208" s="25"/>
      <c r="M208" s="25"/>
      <c r="N208" s="25">
        <v>0.2</v>
      </c>
      <c r="O208" s="102" t="s">
        <v>656</v>
      </c>
      <c r="P208" s="155">
        <v>0.33</v>
      </c>
      <c r="Q208" s="81" t="s">
        <v>698</v>
      </c>
      <c r="R208" s="207">
        <v>0.33</v>
      </c>
      <c r="S208" s="206" t="s">
        <v>938</v>
      </c>
      <c r="T208" s="284">
        <v>1</v>
      </c>
      <c r="U208" s="262" t="s">
        <v>1018</v>
      </c>
    </row>
    <row r="209" spans="1:21" ht="192">
      <c r="A209" s="354"/>
      <c r="B209" s="354"/>
      <c r="C209" s="107" t="s">
        <v>420</v>
      </c>
      <c r="D209" s="38">
        <v>1.125E-2</v>
      </c>
      <c r="E209" s="25" t="s">
        <v>112</v>
      </c>
      <c r="F209" s="16">
        <v>1</v>
      </c>
      <c r="G209" s="60" t="s">
        <v>421</v>
      </c>
      <c r="H209" s="30">
        <v>43101</v>
      </c>
      <c r="I209" s="30">
        <v>43434</v>
      </c>
      <c r="J209" s="25">
        <v>0.27</v>
      </c>
      <c r="K209" s="25">
        <v>0.54</v>
      </c>
      <c r="L209" s="25">
        <v>0.81</v>
      </c>
      <c r="M209" s="25">
        <v>1</v>
      </c>
      <c r="N209" s="25">
        <v>0</v>
      </c>
      <c r="O209" s="102" t="s">
        <v>657</v>
      </c>
      <c r="P209" s="77">
        <v>0.5</v>
      </c>
      <c r="Q209" s="162" t="s">
        <v>699</v>
      </c>
      <c r="R209" s="208">
        <v>0.8</v>
      </c>
      <c r="S209" s="209" t="s">
        <v>939</v>
      </c>
      <c r="T209" s="156">
        <v>1</v>
      </c>
      <c r="U209" s="262" t="s">
        <v>1019</v>
      </c>
    </row>
    <row r="210" spans="1:21" ht="135">
      <c r="A210" s="354"/>
      <c r="B210" s="354"/>
      <c r="C210" s="44" t="s">
        <v>422</v>
      </c>
      <c r="D210" s="38">
        <v>1.125E-2</v>
      </c>
      <c r="E210" s="25" t="s">
        <v>105</v>
      </c>
      <c r="F210" s="25">
        <v>0.9</v>
      </c>
      <c r="G210" s="60" t="s">
        <v>423</v>
      </c>
      <c r="H210" s="30">
        <v>43101</v>
      </c>
      <c r="I210" s="30">
        <v>43434</v>
      </c>
      <c r="J210" s="25">
        <v>0.27</v>
      </c>
      <c r="K210" s="25">
        <v>0.54</v>
      </c>
      <c r="L210" s="25">
        <v>0.81</v>
      </c>
      <c r="M210" s="25">
        <v>1</v>
      </c>
      <c r="N210" s="25">
        <v>0.15</v>
      </c>
      <c r="O210" s="102" t="s">
        <v>658</v>
      </c>
      <c r="P210" s="77">
        <v>0.4</v>
      </c>
      <c r="Q210" s="81" t="s">
        <v>700</v>
      </c>
      <c r="R210" s="208">
        <v>0.8</v>
      </c>
      <c r="S210" s="209" t="s">
        <v>940</v>
      </c>
      <c r="T210" s="156">
        <v>1</v>
      </c>
      <c r="U210" s="262" t="s">
        <v>1020</v>
      </c>
    </row>
    <row r="211" spans="1:21" ht="105">
      <c r="A211" s="354"/>
      <c r="B211" s="354"/>
      <c r="C211" s="44" t="s">
        <v>424</v>
      </c>
      <c r="D211" s="38">
        <v>1.125E-2</v>
      </c>
      <c r="E211" s="25" t="s">
        <v>112</v>
      </c>
      <c r="F211" s="16">
        <v>2</v>
      </c>
      <c r="G211" s="60" t="s">
        <v>425</v>
      </c>
      <c r="H211" s="30">
        <v>43101</v>
      </c>
      <c r="I211" s="30">
        <v>43434</v>
      </c>
      <c r="J211" s="25">
        <v>0.27</v>
      </c>
      <c r="K211" s="25">
        <v>0.54</v>
      </c>
      <c r="L211" s="25">
        <v>0.81</v>
      </c>
      <c r="M211" s="25">
        <v>1</v>
      </c>
      <c r="N211" s="25">
        <v>0.15</v>
      </c>
      <c r="O211" s="102" t="s">
        <v>659</v>
      </c>
      <c r="P211" s="77">
        <v>0.4</v>
      </c>
      <c r="Q211" s="81" t="s">
        <v>701</v>
      </c>
      <c r="R211" s="208">
        <v>0.8</v>
      </c>
      <c r="S211" s="209" t="s">
        <v>941</v>
      </c>
      <c r="T211" s="156">
        <v>0.8</v>
      </c>
      <c r="U211" s="262" t="s">
        <v>941</v>
      </c>
    </row>
    <row r="212" spans="1:21" ht="180">
      <c r="A212" s="354"/>
      <c r="B212" s="354"/>
      <c r="C212" s="44" t="s">
        <v>426</v>
      </c>
      <c r="D212" s="38">
        <v>1.125E-2</v>
      </c>
      <c r="E212" s="25" t="s">
        <v>112</v>
      </c>
      <c r="F212" s="16">
        <v>1</v>
      </c>
      <c r="G212" s="60" t="s">
        <v>427</v>
      </c>
      <c r="H212" s="30">
        <v>43101</v>
      </c>
      <c r="I212" s="30">
        <v>43434</v>
      </c>
      <c r="J212" s="25">
        <v>0.27</v>
      </c>
      <c r="K212" s="25">
        <v>0.54</v>
      </c>
      <c r="L212" s="25">
        <v>0.81</v>
      </c>
      <c r="M212" s="25">
        <v>1</v>
      </c>
      <c r="N212" s="25">
        <v>0.15</v>
      </c>
      <c r="O212" s="102" t="s">
        <v>660</v>
      </c>
      <c r="P212" s="77">
        <v>0.5</v>
      </c>
      <c r="Q212" s="81" t="s">
        <v>702</v>
      </c>
      <c r="R212" s="208">
        <v>0.8</v>
      </c>
      <c r="S212" s="209" t="s">
        <v>942</v>
      </c>
      <c r="T212" s="285" t="s">
        <v>1054</v>
      </c>
      <c r="U212" s="262" t="s">
        <v>1021</v>
      </c>
    </row>
    <row r="213" spans="1:21" ht="267.75">
      <c r="A213" s="354"/>
      <c r="B213" s="354"/>
      <c r="C213" s="107" t="s">
        <v>428</v>
      </c>
      <c r="D213" s="38">
        <v>1.125E-2</v>
      </c>
      <c r="E213" s="25" t="s">
        <v>112</v>
      </c>
      <c r="F213" s="16">
        <v>1</v>
      </c>
      <c r="G213" s="60" t="s">
        <v>429</v>
      </c>
      <c r="H213" s="30">
        <v>43101</v>
      </c>
      <c r="I213" s="30">
        <v>43404</v>
      </c>
      <c r="J213" s="25">
        <v>0.3</v>
      </c>
      <c r="K213" s="25">
        <v>0.6</v>
      </c>
      <c r="L213" s="25">
        <v>0.9</v>
      </c>
      <c r="M213" s="25">
        <v>1</v>
      </c>
      <c r="N213" s="25">
        <v>0.15</v>
      </c>
      <c r="O213" s="102" t="s">
        <v>661</v>
      </c>
      <c r="P213" s="77">
        <v>0.4</v>
      </c>
      <c r="Q213" s="160" t="s">
        <v>703</v>
      </c>
      <c r="R213" s="210">
        <v>0.6</v>
      </c>
      <c r="S213" s="209" t="s">
        <v>943</v>
      </c>
      <c r="T213" s="285" t="s">
        <v>1054</v>
      </c>
      <c r="U213" s="262" t="s">
        <v>1022</v>
      </c>
    </row>
    <row r="214" spans="1:21" ht="120">
      <c r="A214" s="354"/>
      <c r="B214" s="354"/>
      <c r="C214" s="107" t="s">
        <v>430</v>
      </c>
      <c r="D214" s="38">
        <v>1.125E-2</v>
      </c>
      <c r="E214" s="25" t="s">
        <v>112</v>
      </c>
      <c r="F214" s="16">
        <v>1</v>
      </c>
      <c r="G214" s="60" t="s">
        <v>431</v>
      </c>
      <c r="H214" s="30">
        <v>43101</v>
      </c>
      <c r="I214" s="30">
        <v>43373</v>
      </c>
      <c r="J214" s="25">
        <v>0.33</v>
      </c>
      <c r="K214" s="25">
        <v>0.66</v>
      </c>
      <c r="L214" s="25">
        <v>1</v>
      </c>
      <c r="M214" s="25"/>
      <c r="N214" s="25">
        <v>0</v>
      </c>
      <c r="O214" s="102" t="s">
        <v>662</v>
      </c>
      <c r="P214" s="77">
        <v>0.33</v>
      </c>
      <c r="Q214" s="160" t="s">
        <v>704</v>
      </c>
      <c r="R214" s="208">
        <v>0.3</v>
      </c>
      <c r="S214" s="209" t="s">
        <v>944</v>
      </c>
      <c r="T214" s="285" t="s">
        <v>1054</v>
      </c>
      <c r="U214" s="262" t="s">
        <v>1023</v>
      </c>
    </row>
    <row r="215" spans="1:21" ht="345">
      <c r="A215" s="354"/>
      <c r="B215" s="354"/>
      <c r="C215" s="107" t="s">
        <v>432</v>
      </c>
      <c r="D215" s="38">
        <v>1.125E-2</v>
      </c>
      <c r="E215" s="25" t="s">
        <v>105</v>
      </c>
      <c r="F215" s="25">
        <v>0.9</v>
      </c>
      <c r="G215" s="60" t="s">
        <v>433</v>
      </c>
      <c r="H215" s="30">
        <v>43101</v>
      </c>
      <c r="I215" s="30">
        <v>43434</v>
      </c>
      <c r="J215" s="25">
        <v>0.27</v>
      </c>
      <c r="K215" s="25">
        <v>0.54</v>
      </c>
      <c r="L215" s="25">
        <v>0.81</v>
      </c>
      <c r="M215" s="25">
        <v>1</v>
      </c>
      <c r="N215" s="25">
        <v>0.15</v>
      </c>
      <c r="O215" s="102" t="s">
        <v>663</v>
      </c>
      <c r="P215" s="156">
        <v>0.2</v>
      </c>
      <c r="Q215" s="81" t="s">
        <v>705</v>
      </c>
      <c r="R215" s="208">
        <v>0.25</v>
      </c>
      <c r="S215" s="209" t="s">
        <v>945</v>
      </c>
      <c r="T215" s="286">
        <v>0.5</v>
      </c>
      <c r="U215" s="262" t="s">
        <v>1024</v>
      </c>
    </row>
    <row r="216" spans="1:21" ht="409.5">
      <c r="A216" s="354"/>
      <c r="B216" s="354"/>
      <c r="C216" s="107" t="s">
        <v>434</v>
      </c>
      <c r="D216" s="38">
        <v>1.125E-2</v>
      </c>
      <c r="E216" s="25" t="s">
        <v>105</v>
      </c>
      <c r="F216" s="25">
        <v>1</v>
      </c>
      <c r="G216" s="60" t="s">
        <v>435</v>
      </c>
      <c r="H216" s="30">
        <v>43101</v>
      </c>
      <c r="I216" s="30">
        <v>43465</v>
      </c>
      <c r="J216" s="25">
        <v>0.24</v>
      </c>
      <c r="K216" s="25">
        <v>0.48</v>
      </c>
      <c r="L216" s="25">
        <v>0.72</v>
      </c>
      <c r="M216" s="25">
        <v>1</v>
      </c>
      <c r="N216" s="25">
        <v>0.24</v>
      </c>
      <c r="O216" s="102" t="s">
        <v>664</v>
      </c>
      <c r="P216" s="156">
        <v>0.48</v>
      </c>
      <c r="Q216" s="81" t="s">
        <v>706</v>
      </c>
      <c r="R216" s="211">
        <v>0.9</v>
      </c>
      <c r="S216" s="206" t="s">
        <v>946</v>
      </c>
      <c r="T216" s="287">
        <v>1</v>
      </c>
      <c r="U216" s="263" t="s">
        <v>1025</v>
      </c>
    </row>
    <row r="217" spans="1:21" ht="405">
      <c r="A217" s="354"/>
      <c r="B217" s="354"/>
      <c r="C217" s="107" t="s">
        <v>436</v>
      </c>
      <c r="D217" s="38">
        <v>3.125E-2</v>
      </c>
      <c r="E217" s="25" t="s">
        <v>105</v>
      </c>
      <c r="F217" s="25">
        <v>1</v>
      </c>
      <c r="G217" s="60" t="s">
        <v>437</v>
      </c>
      <c r="H217" s="30">
        <v>43101</v>
      </c>
      <c r="I217" s="30">
        <v>43465</v>
      </c>
      <c r="J217" s="25">
        <v>0.24</v>
      </c>
      <c r="K217" s="25">
        <v>0.48</v>
      </c>
      <c r="L217" s="25">
        <v>0.72</v>
      </c>
      <c r="M217" s="25">
        <v>1</v>
      </c>
      <c r="N217" s="25">
        <v>0.15</v>
      </c>
      <c r="O217" s="102" t="s">
        <v>665</v>
      </c>
      <c r="P217" s="157">
        <v>0.48</v>
      </c>
      <c r="Q217" s="81" t="s">
        <v>707</v>
      </c>
      <c r="R217" s="211">
        <v>0.92</v>
      </c>
      <c r="S217" s="206" t="s">
        <v>947</v>
      </c>
      <c r="T217" s="287">
        <v>1</v>
      </c>
      <c r="U217" s="263" t="s">
        <v>1026</v>
      </c>
    </row>
    <row r="218" spans="1:21" ht="255">
      <c r="A218" s="354"/>
      <c r="B218" s="354"/>
      <c r="C218" s="107" t="s">
        <v>438</v>
      </c>
      <c r="D218" s="38">
        <v>3.125E-2</v>
      </c>
      <c r="E218" s="25" t="s">
        <v>105</v>
      </c>
      <c r="F218" s="25">
        <v>1</v>
      </c>
      <c r="G218" s="60" t="s">
        <v>439</v>
      </c>
      <c r="H218" s="30">
        <v>43101</v>
      </c>
      <c r="I218" s="30">
        <v>43465</v>
      </c>
      <c r="J218" s="25">
        <v>0.24</v>
      </c>
      <c r="K218" s="25">
        <v>0.48</v>
      </c>
      <c r="L218" s="25">
        <v>0.72</v>
      </c>
      <c r="M218" s="25">
        <v>1</v>
      </c>
      <c r="N218" s="25">
        <v>0.02</v>
      </c>
      <c r="O218" s="102" t="s">
        <v>666</v>
      </c>
      <c r="P218" s="77">
        <v>0.5</v>
      </c>
      <c r="Q218" s="81" t="s">
        <v>708</v>
      </c>
      <c r="R218" s="211">
        <v>0.8</v>
      </c>
      <c r="S218" s="206" t="s">
        <v>948</v>
      </c>
      <c r="T218" s="287">
        <v>1</v>
      </c>
      <c r="U218" s="264" t="s">
        <v>1027</v>
      </c>
    </row>
    <row r="219" spans="1:21" ht="189">
      <c r="A219" s="354"/>
      <c r="B219" s="354"/>
      <c r="C219" s="107" t="s">
        <v>440</v>
      </c>
      <c r="D219" s="38">
        <v>3.125E-2</v>
      </c>
      <c r="E219" s="25" t="s">
        <v>105</v>
      </c>
      <c r="F219" s="25">
        <v>0.9</v>
      </c>
      <c r="G219" s="60" t="s">
        <v>441</v>
      </c>
      <c r="H219" s="30">
        <v>43101</v>
      </c>
      <c r="I219" s="30">
        <v>43465</v>
      </c>
      <c r="J219" s="25">
        <v>0.24</v>
      </c>
      <c r="K219" s="25">
        <v>0.48</v>
      </c>
      <c r="L219" s="25">
        <v>0.72</v>
      </c>
      <c r="M219" s="25">
        <v>1</v>
      </c>
      <c r="N219" s="25">
        <v>0.24</v>
      </c>
      <c r="O219" s="102" t="s">
        <v>667</v>
      </c>
      <c r="P219" s="77">
        <v>0.1</v>
      </c>
      <c r="Q219" s="81" t="s">
        <v>666</v>
      </c>
      <c r="R219" s="211">
        <v>0.8</v>
      </c>
      <c r="S219" s="206" t="s">
        <v>949</v>
      </c>
      <c r="T219" s="287">
        <v>1</v>
      </c>
      <c r="U219" s="263" t="s">
        <v>1028</v>
      </c>
    </row>
    <row r="220" spans="1:21" ht="180">
      <c r="A220" s="354"/>
      <c r="B220" s="354"/>
      <c r="C220" s="107" t="s">
        <v>442</v>
      </c>
      <c r="D220" s="38">
        <v>3.125E-2</v>
      </c>
      <c r="E220" s="25" t="s">
        <v>105</v>
      </c>
      <c r="F220" s="25">
        <v>0.9</v>
      </c>
      <c r="G220" s="60" t="s">
        <v>443</v>
      </c>
      <c r="H220" s="30">
        <v>43101</v>
      </c>
      <c r="I220" s="30">
        <v>43465</v>
      </c>
      <c r="J220" s="25">
        <v>0.24</v>
      </c>
      <c r="K220" s="25">
        <v>0.48</v>
      </c>
      <c r="L220" s="25">
        <v>0.72</v>
      </c>
      <c r="M220" s="25">
        <v>1</v>
      </c>
      <c r="N220" s="25">
        <v>0.24</v>
      </c>
      <c r="O220" s="102" t="s">
        <v>668</v>
      </c>
      <c r="P220" s="77">
        <v>0.48</v>
      </c>
      <c r="Q220" s="81" t="s">
        <v>709</v>
      </c>
      <c r="R220" s="208">
        <v>0.8</v>
      </c>
      <c r="S220" s="206" t="s">
        <v>950</v>
      </c>
      <c r="T220" s="287">
        <v>1</v>
      </c>
      <c r="U220" s="263" t="s">
        <v>1029</v>
      </c>
    </row>
    <row r="221" spans="1:21" ht="108">
      <c r="A221" s="354"/>
      <c r="B221" s="354"/>
      <c r="C221" s="107" t="s">
        <v>444</v>
      </c>
      <c r="D221" s="38">
        <v>2.5000000000000001E-2</v>
      </c>
      <c r="E221" s="25" t="s">
        <v>105</v>
      </c>
      <c r="F221" s="25">
        <v>0.7</v>
      </c>
      <c r="G221" s="60" t="s">
        <v>445</v>
      </c>
      <c r="H221" s="30">
        <v>43101</v>
      </c>
      <c r="I221" s="30">
        <v>43434</v>
      </c>
      <c r="J221" s="25">
        <v>0.27</v>
      </c>
      <c r="K221" s="25">
        <v>0.54</v>
      </c>
      <c r="L221" s="25">
        <v>0.81</v>
      </c>
      <c r="M221" s="25">
        <v>1</v>
      </c>
      <c r="N221" s="25">
        <v>0</v>
      </c>
      <c r="O221" s="102" t="s">
        <v>662</v>
      </c>
      <c r="P221" s="43">
        <v>0.27</v>
      </c>
      <c r="Q221" s="81" t="s">
        <v>710</v>
      </c>
      <c r="R221" s="207">
        <v>0.4</v>
      </c>
      <c r="S221" s="206" t="s">
        <v>951</v>
      </c>
      <c r="T221" s="156">
        <v>1</v>
      </c>
      <c r="U221" s="264" t="s">
        <v>1030</v>
      </c>
    </row>
    <row r="222" spans="1:21" ht="168">
      <c r="A222" s="354"/>
      <c r="B222" s="354"/>
      <c r="C222" s="107" t="s">
        <v>446</v>
      </c>
      <c r="D222" s="38">
        <v>1.2500000000000001E-2</v>
      </c>
      <c r="E222" s="25" t="s">
        <v>112</v>
      </c>
      <c r="F222" s="16">
        <v>1</v>
      </c>
      <c r="G222" s="60" t="s">
        <v>447</v>
      </c>
      <c r="H222" s="30">
        <v>43101</v>
      </c>
      <c r="I222" s="30">
        <v>43434</v>
      </c>
      <c r="J222" s="25">
        <v>0.27</v>
      </c>
      <c r="K222" s="25">
        <v>0.54</v>
      </c>
      <c r="L222" s="25">
        <v>0.81</v>
      </c>
      <c r="M222" s="25">
        <v>1</v>
      </c>
      <c r="N222" s="25">
        <v>0</v>
      </c>
      <c r="O222" s="102" t="s">
        <v>662</v>
      </c>
      <c r="P222" s="124">
        <v>0</v>
      </c>
      <c r="Q222" s="160" t="s">
        <v>662</v>
      </c>
      <c r="R222" s="207">
        <v>0.5</v>
      </c>
      <c r="S222" s="212" t="s">
        <v>952</v>
      </c>
      <c r="T222" s="288">
        <v>1</v>
      </c>
      <c r="U222" s="264" t="s">
        <v>1031</v>
      </c>
    </row>
    <row r="223" spans="1:21" ht="189">
      <c r="A223" s="354"/>
      <c r="B223" s="354"/>
      <c r="C223" s="107" t="s">
        <v>448</v>
      </c>
      <c r="D223" s="38">
        <v>2.5000000000000001E-2</v>
      </c>
      <c r="E223" s="25" t="s">
        <v>112</v>
      </c>
      <c r="F223" s="16">
        <v>1</v>
      </c>
      <c r="G223" s="60" t="s">
        <v>449</v>
      </c>
      <c r="H223" s="30">
        <v>43101</v>
      </c>
      <c r="I223" s="30">
        <v>43434</v>
      </c>
      <c r="J223" s="25">
        <v>0.27</v>
      </c>
      <c r="K223" s="25">
        <v>0.54</v>
      </c>
      <c r="L223" s="25">
        <v>0.81</v>
      </c>
      <c r="M223" s="25">
        <v>1</v>
      </c>
      <c r="N223" s="25">
        <v>0.27</v>
      </c>
      <c r="O223" s="102" t="s">
        <v>669</v>
      </c>
      <c r="P223" s="43">
        <v>0.54</v>
      </c>
      <c r="Q223" s="81" t="s">
        <v>711</v>
      </c>
      <c r="R223" s="207">
        <v>0.5</v>
      </c>
      <c r="S223" s="206" t="s">
        <v>953</v>
      </c>
      <c r="T223" s="288">
        <v>1</v>
      </c>
      <c r="U223" s="265" t="s">
        <v>1032</v>
      </c>
    </row>
    <row r="224" spans="1:21" ht="96">
      <c r="A224" s="354"/>
      <c r="B224" s="354"/>
      <c r="C224" s="107" t="s">
        <v>450</v>
      </c>
      <c r="D224" s="38">
        <v>1.2500000000000001E-2</v>
      </c>
      <c r="E224" s="25" t="s">
        <v>112</v>
      </c>
      <c r="F224" s="16">
        <v>1</v>
      </c>
      <c r="G224" s="60" t="s">
        <v>451</v>
      </c>
      <c r="H224" s="30">
        <v>43101</v>
      </c>
      <c r="I224" s="30">
        <v>43434</v>
      </c>
      <c r="J224" s="25">
        <v>0.27</v>
      </c>
      <c r="K224" s="25">
        <v>0.54</v>
      </c>
      <c r="L224" s="25">
        <v>0.81</v>
      </c>
      <c r="M224" s="25">
        <v>1</v>
      </c>
      <c r="N224" s="25">
        <v>0</v>
      </c>
      <c r="O224" s="102" t="s">
        <v>662</v>
      </c>
      <c r="P224" s="124">
        <v>0</v>
      </c>
      <c r="Q224" s="160" t="s">
        <v>662</v>
      </c>
      <c r="R224" s="213">
        <v>0.5</v>
      </c>
      <c r="S224" s="212" t="s">
        <v>954</v>
      </c>
      <c r="T224" s="286">
        <v>1</v>
      </c>
      <c r="U224" s="262" t="s">
        <v>1033</v>
      </c>
    </row>
    <row r="225" spans="1:21" ht="195">
      <c r="A225" s="354"/>
      <c r="B225" s="354"/>
      <c r="C225" s="107" t="s">
        <v>452</v>
      </c>
      <c r="D225" s="38">
        <v>2.5000000000000001E-2</v>
      </c>
      <c r="E225" s="25" t="s">
        <v>112</v>
      </c>
      <c r="F225" s="16">
        <v>2</v>
      </c>
      <c r="G225" s="60" t="s">
        <v>453</v>
      </c>
      <c r="H225" s="30">
        <v>43101</v>
      </c>
      <c r="I225" s="30">
        <v>43434</v>
      </c>
      <c r="J225" s="25">
        <v>0.27</v>
      </c>
      <c r="K225" s="25">
        <v>0.54</v>
      </c>
      <c r="L225" s="25">
        <v>0.81</v>
      </c>
      <c r="M225" s="25">
        <v>1</v>
      </c>
      <c r="N225" s="25">
        <v>0.15</v>
      </c>
      <c r="O225" s="102" t="s">
        <v>670</v>
      </c>
      <c r="P225" s="124">
        <v>0.5</v>
      </c>
      <c r="Q225" s="161" t="s">
        <v>712</v>
      </c>
      <c r="R225" s="213"/>
      <c r="S225" s="212" t="s">
        <v>955</v>
      </c>
      <c r="T225" s="289">
        <v>1</v>
      </c>
      <c r="U225" s="266" t="s">
        <v>1034</v>
      </c>
    </row>
    <row r="226" spans="1:21" ht="270">
      <c r="A226" s="354"/>
      <c r="B226" s="354"/>
      <c r="C226" s="107" t="s">
        <v>454</v>
      </c>
      <c r="D226" s="38">
        <v>1.2500000000000001E-2</v>
      </c>
      <c r="E226" s="25" t="s">
        <v>112</v>
      </c>
      <c r="F226" s="16">
        <v>2</v>
      </c>
      <c r="G226" s="60" t="s">
        <v>455</v>
      </c>
      <c r="H226" s="30">
        <v>43101</v>
      </c>
      <c r="I226" s="30">
        <v>43434</v>
      </c>
      <c r="J226" s="25">
        <v>0.27</v>
      </c>
      <c r="K226" s="25">
        <v>0.54</v>
      </c>
      <c r="L226" s="25">
        <v>0.81</v>
      </c>
      <c r="M226" s="25">
        <v>1</v>
      </c>
      <c r="N226" s="25">
        <v>0.15</v>
      </c>
      <c r="O226" s="102" t="s">
        <v>671</v>
      </c>
      <c r="P226" s="124">
        <v>1</v>
      </c>
      <c r="Q226" s="161" t="s">
        <v>713</v>
      </c>
      <c r="R226" s="214"/>
      <c r="S226" s="209" t="s">
        <v>956</v>
      </c>
      <c r="T226" s="289">
        <v>1</v>
      </c>
      <c r="U226" s="267" t="s">
        <v>1035</v>
      </c>
    </row>
    <row r="227" spans="1:21" ht="240">
      <c r="A227" s="354"/>
      <c r="B227" s="354"/>
      <c r="C227" s="107" t="s">
        <v>456</v>
      </c>
      <c r="D227" s="38">
        <v>1.2500000000000001E-2</v>
      </c>
      <c r="E227" s="25" t="s">
        <v>105</v>
      </c>
      <c r="F227" s="25">
        <v>1</v>
      </c>
      <c r="G227" s="60" t="s">
        <v>457</v>
      </c>
      <c r="H227" s="30">
        <v>43101</v>
      </c>
      <c r="I227" s="30">
        <v>43434</v>
      </c>
      <c r="J227" s="25">
        <v>0.27</v>
      </c>
      <c r="K227" s="25">
        <v>0.54</v>
      </c>
      <c r="L227" s="25">
        <v>0.81</v>
      </c>
      <c r="M227" s="25">
        <v>1</v>
      </c>
      <c r="N227" s="25">
        <v>0.15</v>
      </c>
      <c r="O227" s="102" t="s">
        <v>672</v>
      </c>
      <c r="P227" s="124">
        <v>0.5</v>
      </c>
      <c r="Q227" s="161" t="s">
        <v>672</v>
      </c>
      <c r="R227" s="214"/>
      <c r="S227" s="209" t="s">
        <v>957</v>
      </c>
      <c r="T227" s="289">
        <v>1</v>
      </c>
      <c r="U227" s="267" t="s">
        <v>1036</v>
      </c>
    </row>
    <row r="228" spans="1:21" ht="60">
      <c r="A228" s="354"/>
      <c r="B228" s="354"/>
      <c r="C228" s="107" t="s">
        <v>458</v>
      </c>
      <c r="D228" s="38">
        <v>0.01</v>
      </c>
      <c r="E228" s="25" t="s">
        <v>105</v>
      </c>
      <c r="F228" s="25">
        <v>1</v>
      </c>
      <c r="G228" s="60" t="s">
        <v>459</v>
      </c>
      <c r="H228" s="30">
        <v>43101</v>
      </c>
      <c r="I228" s="30">
        <v>43434</v>
      </c>
      <c r="J228" s="25">
        <v>0.27</v>
      </c>
      <c r="K228" s="25">
        <v>0.54</v>
      </c>
      <c r="L228" s="25">
        <v>0.81</v>
      </c>
      <c r="M228" s="25">
        <v>1</v>
      </c>
      <c r="N228" s="25">
        <v>1</v>
      </c>
      <c r="O228" s="102" t="s">
        <v>673</v>
      </c>
      <c r="P228" s="124">
        <v>1</v>
      </c>
      <c r="Q228" s="160" t="s">
        <v>673</v>
      </c>
      <c r="R228" s="210">
        <v>1</v>
      </c>
      <c r="S228" s="209" t="s">
        <v>673</v>
      </c>
      <c r="T228" s="289">
        <v>1</v>
      </c>
      <c r="U228" s="262" t="s">
        <v>1037</v>
      </c>
    </row>
    <row r="229" spans="1:21" ht="110.25">
      <c r="A229" s="354"/>
      <c r="B229" s="354"/>
      <c r="C229" s="107" t="s">
        <v>460</v>
      </c>
      <c r="D229" s="38">
        <v>0.01</v>
      </c>
      <c r="E229" s="25" t="s">
        <v>105</v>
      </c>
      <c r="F229" s="25">
        <v>0.9</v>
      </c>
      <c r="G229" s="60" t="s">
        <v>461</v>
      </c>
      <c r="H229" s="30">
        <v>43101</v>
      </c>
      <c r="I229" s="30">
        <v>43190</v>
      </c>
      <c r="J229" s="25">
        <v>1</v>
      </c>
      <c r="K229" s="25"/>
      <c r="L229" s="25"/>
      <c r="M229" s="25"/>
      <c r="N229" s="25">
        <v>0.3</v>
      </c>
      <c r="O229" s="102" t="s">
        <v>674</v>
      </c>
      <c r="P229" s="124">
        <v>0.5</v>
      </c>
      <c r="Q229" s="160" t="s">
        <v>714</v>
      </c>
      <c r="R229" s="215">
        <v>0.5</v>
      </c>
      <c r="S229" s="209" t="s">
        <v>958</v>
      </c>
      <c r="T229" s="289">
        <v>1</v>
      </c>
      <c r="U229" s="262" t="s">
        <v>1038</v>
      </c>
    </row>
    <row r="230" spans="1:21" ht="135">
      <c r="A230" s="354"/>
      <c r="B230" s="354"/>
      <c r="C230" s="107" t="s">
        <v>462</v>
      </c>
      <c r="D230" s="38">
        <v>8.7500000000000008E-3</v>
      </c>
      <c r="E230" s="25" t="s">
        <v>105</v>
      </c>
      <c r="F230" s="25">
        <v>0.9</v>
      </c>
      <c r="G230" s="60" t="s">
        <v>463</v>
      </c>
      <c r="H230" s="30">
        <v>43101</v>
      </c>
      <c r="I230" s="30">
        <v>43434</v>
      </c>
      <c r="J230" s="25">
        <v>0.27</v>
      </c>
      <c r="K230" s="25">
        <v>0.54</v>
      </c>
      <c r="L230" s="25">
        <v>0.81</v>
      </c>
      <c r="M230" s="25">
        <v>1</v>
      </c>
      <c r="N230" s="25">
        <v>0</v>
      </c>
      <c r="O230" s="102" t="s">
        <v>662</v>
      </c>
      <c r="P230" s="124">
        <v>0</v>
      </c>
      <c r="Q230" s="160" t="s">
        <v>662</v>
      </c>
      <c r="R230" s="215">
        <v>0.3</v>
      </c>
      <c r="S230" s="209" t="s">
        <v>959</v>
      </c>
      <c r="T230" s="289">
        <v>1</v>
      </c>
      <c r="U230" s="267" t="s">
        <v>1039</v>
      </c>
    </row>
    <row r="231" spans="1:21" ht="63">
      <c r="A231" s="354"/>
      <c r="B231" s="354"/>
      <c r="C231" s="107" t="s">
        <v>464</v>
      </c>
      <c r="D231" s="38">
        <v>8.7500000000000008E-3</v>
      </c>
      <c r="E231" s="25" t="s">
        <v>105</v>
      </c>
      <c r="F231" s="25">
        <v>0.9</v>
      </c>
      <c r="G231" s="60" t="s">
        <v>465</v>
      </c>
      <c r="H231" s="30">
        <v>43101</v>
      </c>
      <c r="I231" s="30">
        <v>43434</v>
      </c>
      <c r="J231" s="25">
        <v>0.27</v>
      </c>
      <c r="K231" s="25">
        <v>0.54</v>
      </c>
      <c r="L231" s="25">
        <v>0.81</v>
      </c>
      <c r="M231" s="25">
        <v>1</v>
      </c>
      <c r="N231" s="25">
        <v>1</v>
      </c>
      <c r="O231" s="102" t="s">
        <v>675</v>
      </c>
      <c r="P231" s="124">
        <v>1</v>
      </c>
      <c r="Q231" s="160" t="s">
        <v>675</v>
      </c>
      <c r="R231" s="210">
        <v>1</v>
      </c>
      <c r="S231" s="209" t="s">
        <v>960</v>
      </c>
      <c r="T231" s="289">
        <v>1</v>
      </c>
      <c r="U231" s="262" t="s">
        <v>1040</v>
      </c>
    </row>
    <row r="232" spans="1:21" ht="90">
      <c r="A232" s="354"/>
      <c r="B232" s="354"/>
      <c r="C232" s="107" t="s">
        <v>466</v>
      </c>
      <c r="D232" s="38">
        <v>0.01</v>
      </c>
      <c r="E232" s="25" t="s">
        <v>112</v>
      </c>
      <c r="F232" s="16">
        <v>25</v>
      </c>
      <c r="G232" s="60" t="s">
        <v>467</v>
      </c>
      <c r="H232" s="30">
        <v>43101</v>
      </c>
      <c r="I232" s="30">
        <v>43434</v>
      </c>
      <c r="J232" s="25">
        <v>0.27</v>
      </c>
      <c r="K232" s="25">
        <v>0.54</v>
      </c>
      <c r="L232" s="25">
        <v>0.81</v>
      </c>
      <c r="M232" s="25">
        <v>1</v>
      </c>
      <c r="N232" s="25">
        <v>0.1</v>
      </c>
      <c r="O232" s="102" t="s">
        <v>676</v>
      </c>
      <c r="P232" s="124">
        <v>0.4</v>
      </c>
      <c r="Q232" s="160" t="s">
        <v>715</v>
      </c>
      <c r="R232" s="215">
        <v>0.5</v>
      </c>
      <c r="S232" s="209" t="s">
        <v>961</v>
      </c>
      <c r="T232" s="289">
        <v>1</v>
      </c>
      <c r="U232" s="267" t="s">
        <v>961</v>
      </c>
    </row>
    <row r="233" spans="1:21" ht="105">
      <c r="A233" s="354"/>
      <c r="B233" s="354"/>
      <c r="C233" s="107" t="s">
        <v>468</v>
      </c>
      <c r="D233" s="38">
        <v>0.01</v>
      </c>
      <c r="E233" s="25" t="s">
        <v>112</v>
      </c>
      <c r="F233" s="16">
        <v>50</v>
      </c>
      <c r="G233" s="60" t="s">
        <v>469</v>
      </c>
      <c r="H233" s="30">
        <v>43101</v>
      </c>
      <c r="I233" s="30">
        <v>43434</v>
      </c>
      <c r="J233" s="25">
        <v>0.27</v>
      </c>
      <c r="K233" s="25">
        <v>0.54</v>
      </c>
      <c r="L233" s="25">
        <v>0.81</v>
      </c>
      <c r="M233" s="25">
        <v>1</v>
      </c>
      <c r="N233" s="25">
        <v>0</v>
      </c>
      <c r="O233" s="102" t="s">
        <v>662</v>
      </c>
      <c r="P233" s="124">
        <v>0</v>
      </c>
      <c r="Q233" s="160" t="s">
        <v>662</v>
      </c>
      <c r="R233" s="215">
        <v>0.3</v>
      </c>
      <c r="S233" s="209" t="s">
        <v>962</v>
      </c>
      <c r="T233" s="289">
        <v>1</v>
      </c>
      <c r="U233" s="262" t="s">
        <v>1041</v>
      </c>
    </row>
    <row r="234" spans="1:21" ht="165">
      <c r="A234" s="354"/>
      <c r="B234" s="354"/>
      <c r="C234" s="107" t="s">
        <v>470</v>
      </c>
      <c r="D234" s="38">
        <v>0.01</v>
      </c>
      <c r="E234" s="25" t="s">
        <v>112</v>
      </c>
      <c r="F234" s="16">
        <v>3</v>
      </c>
      <c r="G234" s="60" t="s">
        <v>471</v>
      </c>
      <c r="H234" s="30">
        <v>43101</v>
      </c>
      <c r="I234" s="30">
        <v>43434</v>
      </c>
      <c r="J234" s="25">
        <v>0.27</v>
      </c>
      <c r="K234" s="25">
        <v>0.54</v>
      </c>
      <c r="L234" s="25">
        <v>0.81</v>
      </c>
      <c r="M234" s="25">
        <v>1</v>
      </c>
      <c r="N234" s="25">
        <v>1</v>
      </c>
      <c r="O234" s="102" t="s">
        <v>677</v>
      </c>
      <c r="P234" s="124">
        <v>1</v>
      </c>
      <c r="Q234" s="160" t="s">
        <v>677</v>
      </c>
      <c r="R234" s="210">
        <v>1</v>
      </c>
      <c r="S234" s="209" t="s">
        <v>961</v>
      </c>
      <c r="T234" s="289">
        <v>1</v>
      </c>
      <c r="U234" s="267" t="s">
        <v>961</v>
      </c>
    </row>
    <row r="235" spans="1:21" ht="132">
      <c r="A235" s="354"/>
      <c r="B235" s="354"/>
      <c r="C235" s="107" t="s">
        <v>472</v>
      </c>
      <c r="D235" s="38">
        <v>0.01</v>
      </c>
      <c r="E235" s="25" t="s">
        <v>105</v>
      </c>
      <c r="F235" s="25">
        <v>1</v>
      </c>
      <c r="G235" s="60" t="s">
        <v>473</v>
      </c>
      <c r="H235" s="30">
        <v>43101</v>
      </c>
      <c r="I235" s="30">
        <v>43434</v>
      </c>
      <c r="J235" s="25">
        <v>0.27</v>
      </c>
      <c r="K235" s="25">
        <v>0.54</v>
      </c>
      <c r="L235" s="25">
        <v>0.81</v>
      </c>
      <c r="M235" s="25">
        <v>1</v>
      </c>
      <c r="N235" s="25">
        <v>0.1</v>
      </c>
      <c r="O235" s="102" t="s">
        <v>676</v>
      </c>
      <c r="P235" s="124">
        <v>0.4</v>
      </c>
      <c r="Q235" s="160" t="s">
        <v>715</v>
      </c>
      <c r="R235" s="210">
        <v>1</v>
      </c>
      <c r="S235" s="209" t="s">
        <v>677</v>
      </c>
      <c r="T235" s="289">
        <v>1</v>
      </c>
      <c r="U235" s="267" t="s">
        <v>677</v>
      </c>
    </row>
    <row r="236" spans="1:21" ht="78.75">
      <c r="A236" s="354"/>
      <c r="B236" s="354"/>
      <c r="C236" s="107" t="s">
        <v>474</v>
      </c>
      <c r="D236" s="38">
        <v>7.4999999999999997E-3</v>
      </c>
      <c r="E236" s="25" t="s">
        <v>112</v>
      </c>
      <c r="F236" s="16">
        <v>3</v>
      </c>
      <c r="G236" s="60" t="s">
        <v>475</v>
      </c>
      <c r="H236" s="30">
        <v>43101</v>
      </c>
      <c r="I236" s="30">
        <v>43434</v>
      </c>
      <c r="J236" s="25">
        <v>0.27</v>
      </c>
      <c r="K236" s="25">
        <v>0.54</v>
      </c>
      <c r="L236" s="25">
        <v>0.81</v>
      </c>
      <c r="M236" s="25">
        <v>1</v>
      </c>
      <c r="N236" s="25">
        <v>0.4</v>
      </c>
      <c r="O236" s="102" t="s">
        <v>678</v>
      </c>
      <c r="P236" s="158">
        <v>0.6</v>
      </c>
      <c r="Q236" s="160" t="s">
        <v>716</v>
      </c>
      <c r="R236" s="215">
        <v>0.8</v>
      </c>
      <c r="S236" s="209" t="s">
        <v>963</v>
      </c>
      <c r="T236" s="289">
        <v>1</v>
      </c>
      <c r="U236" s="267" t="s">
        <v>1042</v>
      </c>
    </row>
    <row r="237" spans="1:21" ht="75">
      <c r="A237" s="354"/>
      <c r="B237" s="354"/>
      <c r="C237" s="107" t="s">
        <v>476</v>
      </c>
      <c r="D237" s="38">
        <v>0.01</v>
      </c>
      <c r="E237" s="25" t="s">
        <v>105</v>
      </c>
      <c r="F237" s="25">
        <v>1</v>
      </c>
      <c r="G237" s="60" t="s">
        <v>477</v>
      </c>
      <c r="H237" s="30">
        <v>43101</v>
      </c>
      <c r="I237" s="30">
        <v>43434</v>
      </c>
      <c r="J237" s="25">
        <v>0.27</v>
      </c>
      <c r="K237" s="25">
        <v>0.54</v>
      </c>
      <c r="L237" s="25">
        <v>0.81</v>
      </c>
      <c r="M237" s="25">
        <v>1</v>
      </c>
      <c r="N237" s="25">
        <v>1</v>
      </c>
      <c r="O237" s="102" t="s">
        <v>679</v>
      </c>
      <c r="P237" s="124">
        <v>1</v>
      </c>
      <c r="Q237" s="160" t="s">
        <v>679</v>
      </c>
      <c r="R237" s="210">
        <v>1</v>
      </c>
      <c r="S237" s="209" t="s">
        <v>964</v>
      </c>
      <c r="T237" s="289">
        <v>1</v>
      </c>
      <c r="U237" s="262" t="s">
        <v>1043</v>
      </c>
    </row>
    <row r="238" spans="1:21" ht="75">
      <c r="A238" s="354"/>
      <c r="B238" s="354"/>
      <c r="C238" s="107" t="s">
        <v>478</v>
      </c>
      <c r="D238" s="38">
        <v>0.01</v>
      </c>
      <c r="E238" s="25" t="s">
        <v>112</v>
      </c>
      <c r="F238" s="26">
        <v>3500</v>
      </c>
      <c r="G238" s="60" t="s">
        <v>479</v>
      </c>
      <c r="H238" s="30">
        <v>43101</v>
      </c>
      <c r="I238" s="30">
        <v>43434</v>
      </c>
      <c r="J238" s="25">
        <v>0.27</v>
      </c>
      <c r="K238" s="25">
        <v>0.54</v>
      </c>
      <c r="L238" s="25">
        <v>0.81</v>
      </c>
      <c r="M238" s="25">
        <v>1</v>
      </c>
      <c r="N238" s="25">
        <v>0.1</v>
      </c>
      <c r="O238" s="102" t="s">
        <v>680</v>
      </c>
      <c r="P238" s="159">
        <v>1</v>
      </c>
      <c r="Q238" s="160" t="s">
        <v>717</v>
      </c>
      <c r="R238" s="210">
        <v>1</v>
      </c>
      <c r="S238" s="209" t="s">
        <v>965</v>
      </c>
      <c r="T238" s="289">
        <v>1</v>
      </c>
      <c r="U238" s="262" t="s">
        <v>1044</v>
      </c>
    </row>
    <row r="239" spans="1:21" ht="120">
      <c r="A239" s="354"/>
      <c r="B239" s="354"/>
      <c r="C239" s="107" t="s">
        <v>480</v>
      </c>
      <c r="D239" s="38">
        <v>0.01</v>
      </c>
      <c r="E239" s="25" t="s">
        <v>112</v>
      </c>
      <c r="F239" s="16">
        <v>9</v>
      </c>
      <c r="G239" s="60" t="s">
        <v>481</v>
      </c>
      <c r="H239" s="30">
        <v>43101</v>
      </c>
      <c r="I239" s="30">
        <v>43434</v>
      </c>
      <c r="J239" s="25">
        <v>0.27</v>
      </c>
      <c r="K239" s="25">
        <v>0.54</v>
      </c>
      <c r="L239" s="25">
        <v>0.81</v>
      </c>
      <c r="M239" s="25">
        <v>1</v>
      </c>
      <c r="N239" s="25">
        <v>0</v>
      </c>
      <c r="O239" s="102" t="s">
        <v>681</v>
      </c>
      <c r="P239" s="124">
        <v>0</v>
      </c>
      <c r="Q239" s="160" t="s">
        <v>718</v>
      </c>
      <c r="R239" s="215">
        <v>0.5</v>
      </c>
      <c r="S239" s="209" t="s">
        <v>681</v>
      </c>
      <c r="T239" s="289">
        <v>1</v>
      </c>
      <c r="U239" s="267" t="s">
        <v>681</v>
      </c>
    </row>
    <row r="240" spans="1:21" ht="90">
      <c r="A240" s="354"/>
      <c r="B240" s="354"/>
      <c r="C240" s="107" t="s">
        <v>482</v>
      </c>
      <c r="D240" s="38">
        <v>0.01</v>
      </c>
      <c r="E240" s="25" t="s">
        <v>112</v>
      </c>
      <c r="F240" s="16">
        <v>2</v>
      </c>
      <c r="G240" s="60" t="s">
        <v>483</v>
      </c>
      <c r="H240" s="30">
        <v>43101</v>
      </c>
      <c r="I240" s="30">
        <v>43434</v>
      </c>
      <c r="J240" s="25">
        <v>0.27</v>
      </c>
      <c r="K240" s="25">
        <v>0.54</v>
      </c>
      <c r="L240" s="25">
        <v>0.81</v>
      </c>
      <c r="M240" s="25">
        <v>1</v>
      </c>
      <c r="N240" s="25">
        <v>0.1</v>
      </c>
      <c r="O240" s="102" t="s">
        <v>676</v>
      </c>
      <c r="P240" s="124">
        <v>0.4</v>
      </c>
      <c r="Q240" s="160" t="s">
        <v>715</v>
      </c>
      <c r="R240" s="215">
        <v>0.6</v>
      </c>
      <c r="S240" s="209" t="s">
        <v>966</v>
      </c>
      <c r="T240" s="289">
        <v>1</v>
      </c>
      <c r="U240" s="267" t="s">
        <v>966</v>
      </c>
    </row>
    <row r="241" spans="1:21">
      <c r="A241" s="76"/>
      <c r="B241" s="76"/>
      <c r="C241" s="76"/>
      <c r="D241" s="77">
        <f>SUM(D205:D240)</f>
        <v>0.50000000000000011</v>
      </c>
      <c r="E241" s="76"/>
      <c r="F241" s="59"/>
      <c r="G241" s="76"/>
      <c r="H241" s="76"/>
      <c r="I241" s="76"/>
      <c r="J241" s="76"/>
      <c r="K241" s="76"/>
      <c r="L241" s="76"/>
      <c r="M241" s="76"/>
      <c r="N241" s="72"/>
      <c r="O241" s="72"/>
      <c r="P241" s="72"/>
      <c r="Q241" s="72"/>
      <c r="R241" s="72"/>
      <c r="S241" s="72"/>
      <c r="T241" s="72"/>
      <c r="U241" s="72"/>
    </row>
    <row r="242" spans="1:21" ht="33.75">
      <c r="A242" s="316" t="s">
        <v>515</v>
      </c>
      <c r="B242" s="316"/>
      <c r="C242" s="316"/>
      <c r="D242" s="316"/>
      <c r="E242" s="316"/>
      <c r="F242" s="316"/>
      <c r="G242" s="316"/>
      <c r="H242" s="316"/>
      <c r="I242" s="316"/>
      <c r="J242" s="316"/>
      <c r="K242" s="316"/>
      <c r="L242" s="316"/>
      <c r="M242" s="316"/>
      <c r="N242" s="316"/>
      <c r="O242" s="316"/>
      <c r="P242" s="316"/>
      <c r="Q242" s="316"/>
      <c r="R242" s="316"/>
      <c r="S242" s="316"/>
      <c r="T242" s="316"/>
      <c r="U242" s="316"/>
    </row>
    <row r="243" spans="1:21" ht="18.75">
      <c r="A243" s="339" t="s">
        <v>103</v>
      </c>
      <c r="B243" s="339" t="s">
        <v>74</v>
      </c>
      <c r="C243" s="339" t="s">
        <v>65</v>
      </c>
      <c r="D243" s="339" t="s">
        <v>66</v>
      </c>
      <c r="E243" s="339" t="s">
        <v>67</v>
      </c>
      <c r="F243" s="340" t="s">
        <v>68</v>
      </c>
      <c r="G243" s="339" t="s">
        <v>69</v>
      </c>
      <c r="H243" s="341" t="s">
        <v>70</v>
      </c>
      <c r="I243" s="341"/>
      <c r="J243" s="341" t="s">
        <v>79</v>
      </c>
      <c r="K243" s="341"/>
      <c r="L243" s="341"/>
      <c r="M243" s="341"/>
      <c r="N243" s="331" t="s">
        <v>511</v>
      </c>
      <c r="O243" s="331"/>
      <c r="P243" s="331"/>
      <c r="Q243" s="331"/>
      <c r="R243" s="331"/>
      <c r="S243" s="331"/>
      <c r="T243" s="331"/>
      <c r="U243" s="331"/>
    </row>
    <row r="244" spans="1:21" ht="15.75">
      <c r="A244" s="339"/>
      <c r="B244" s="339"/>
      <c r="C244" s="339"/>
      <c r="D244" s="339"/>
      <c r="E244" s="339"/>
      <c r="F244" s="340"/>
      <c r="G244" s="339"/>
      <c r="H244" s="332" t="s">
        <v>71</v>
      </c>
      <c r="I244" s="332" t="s">
        <v>197</v>
      </c>
      <c r="J244" s="15" t="s">
        <v>75</v>
      </c>
      <c r="K244" s="15" t="s">
        <v>76</v>
      </c>
      <c r="L244" s="15" t="s">
        <v>77</v>
      </c>
      <c r="M244" s="15" t="s">
        <v>78</v>
      </c>
      <c r="N244" s="333" t="s">
        <v>75</v>
      </c>
      <c r="O244" s="333"/>
      <c r="P244" s="333" t="s">
        <v>76</v>
      </c>
      <c r="Q244" s="333"/>
      <c r="R244" s="333" t="s">
        <v>77</v>
      </c>
      <c r="S244" s="333"/>
      <c r="T244" s="333" t="s">
        <v>78</v>
      </c>
      <c r="U244" s="333"/>
    </row>
    <row r="245" spans="1:21" ht="31.5">
      <c r="A245" s="339"/>
      <c r="B245" s="339"/>
      <c r="C245" s="339"/>
      <c r="D245" s="339"/>
      <c r="E245" s="339"/>
      <c r="F245" s="340"/>
      <c r="G245" s="339"/>
      <c r="H245" s="332"/>
      <c r="I245" s="332"/>
      <c r="J245" s="101" t="s">
        <v>64</v>
      </c>
      <c r="K245" s="55" t="s">
        <v>64</v>
      </c>
      <c r="L245" s="55" t="s">
        <v>64</v>
      </c>
      <c r="M245" s="55" t="s">
        <v>64</v>
      </c>
      <c r="N245" s="185" t="s">
        <v>514</v>
      </c>
      <c r="O245" s="185" t="s">
        <v>513</v>
      </c>
      <c r="P245" s="185" t="s">
        <v>514</v>
      </c>
      <c r="Q245" s="185" t="s">
        <v>513</v>
      </c>
      <c r="R245" s="185" t="s">
        <v>514</v>
      </c>
      <c r="S245" s="185" t="s">
        <v>513</v>
      </c>
      <c r="T245" s="185" t="s">
        <v>514</v>
      </c>
      <c r="U245" s="185" t="s">
        <v>513</v>
      </c>
    </row>
    <row r="246" spans="1:21" s="73" customFormat="1" ht="33.75">
      <c r="A246" s="316" t="s">
        <v>484</v>
      </c>
      <c r="B246" s="316"/>
      <c r="C246" s="316"/>
      <c r="D246" s="316"/>
      <c r="E246" s="316"/>
      <c r="F246" s="316"/>
      <c r="G246" s="316"/>
      <c r="H246" s="316"/>
      <c r="I246" s="316"/>
      <c r="J246" s="316"/>
      <c r="K246" s="316"/>
      <c r="L246" s="316"/>
      <c r="M246" s="316"/>
      <c r="N246" s="316"/>
      <c r="O246" s="316"/>
      <c r="P246" s="316"/>
      <c r="Q246" s="316"/>
      <c r="R246" s="316"/>
      <c r="S246" s="316"/>
      <c r="T246" s="316"/>
      <c r="U246" s="316"/>
    </row>
    <row r="247" spans="1:21" ht="267.75">
      <c r="A247" s="39" t="s">
        <v>199</v>
      </c>
      <c r="B247" s="39" t="s">
        <v>200</v>
      </c>
      <c r="C247" s="60" t="s">
        <v>485</v>
      </c>
      <c r="D247" s="29">
        <v>0.5</v>
      </c>
      <c r="E247" s="60" t="s">
        <v>105</v>
      </c>
      <c r="F247" s="29">
        <v>1</v>
      </c>
      <c r="G247" s="60" t="s">
        <v>486</v>
      </c>
      <c r="H247" s="40">
        <v>43101</v>
      </c>
      <c r="I247" s="30">
        <v>43465</v>
      </c>
      <c r="J247" s="104">
        <v>0.15</v>
      </c>
      <c r="K247" s="65">
        <v>0.3</v>
      </c>
      <c r="L247" s="65">
        <v>0.7</v>
      </c>
      <c r="M247" s="65">
        <v>1</v>
      </c>
      <c r="N247" s="144">
        <v>0.1</v>
      </c>
      <c r="O247" s="102" t="s">
        <v>682</v>
      </c>
      <c r="P247" s="170">
        <v>0.3</v>
      </c>
      <c r="Q247" s="146" t="s">
        <v>784</v>
      </c>
      <c r="R247" s="216">
        <v>0.75</v>
      </c>
      <c r="S247" s="217" t="s">
        <v>967</v>
      </c>
      <c r="T247" s="77">
        <v>1</v>
      </c>
      <c r="U247" s="191" t="s">
        <v>1049</v>
      </c>
    </row>
    <row r="248" spans="1:21">
      <c r="A248" s="76"/>
      <c r="B248" s="76"/>
      <c r="C248" s="76"/>
      <c r="D248" s="77">
        <f>+D247</f>
        <v>0.5</v>
      </c>
      <c r="E248" s="76"/>
      <c r="F248" s="59"/>
      <c r="G248" s="76"/>
      <c r="H248" s="76"/>
      <c r="I248" s="76"/>
      <c r="J248" s="76"/>
      <c r="K248" s="76"/>
      <c r="L248" s="76"/>
      <c r="M248" s="76"/>
      <c r="N248" s="72"/>
      <c r="O248" s="72"/>
      <c r="P248" s="72"/>
      <c r="Q248" s="72"/>
      <c r="R248" s="72"/>
      <c r="S248" s="72"/>
      <c r="T248" s="72"/>
      <c r="U248" s="72"/>
    </row>
    <row r="249" spans="1:21" ht="33.75">
      <c r="A249" s="316" t="s">
        <v>515</v>
      </c>
      <c r="B249" s="316"/>
      <c r="C249" s="316"/>
      <c r="D249" s="316"/>
      <c r="E249" s="316"/>
      <c r="F249" s="316"/>
      <c r="G249" s="316"/>
      <c r="H249" s="316"/>
      <c r="I249" s="316"/>
      <c r="J249" s="316"/>
      <c r="K249" s="316"/>
      <c r="L249" s="316"/>
      <c r="M249" s="316"/>
      <c r="N249" s="316"/>
      <c r="O249" s="316"/>
      <c r="P249" s="316"/>
      <c r="Q249" s="316"/>
      <c r="R249" s="316"/>
      <c r="S249" s="316"/>
      <c r="T249" s="316"/>
      <c r="U249" s="316"/>
    </row>
    <row r="250" spans="1:21" ht="18.75">
      <c r="A250" s="339" t="s">
        <v>103</v>
      </c>
      <c r="B250" s="339" t="s">
        <v>74</v>
      </c>
      <c r="C250" s="339" t="s">
        <v>65</v>
      </c>
      <c r="D250" s="339" t="s">
        <v>66</v>
      </c>
      <c r="E250" s="339" t="s">
        <v>67</v>
      </c>
      <c r="F250" s="340" t="s">
        <v>68</v>
      </c>
      <c r="G250" s="339" t="s">
        <v>69</v>
      </c>
      <c r="H250" s="341" t="s">
        <v>70</v>
      </c>
      <c r="I250" s="341"/>
      <c r="J250" s="341" t="s">
        <v>79</v>
      </c>
      <c r="K250" s="341"/>
      <c r="L250" s="341"/>
      <c r="M250" s="341"/>
      <c r="N250" s="331" t="s">
        <v>511</v>
      </c>
      <c r="O250" s="331"/>
      <c r="P250" s="331"/>
      <c r="Q250" s="331"/>
      <c r="R250" s="331"/>
      <c r="S250" s="331"/>
      <c r="T250" s="331"/>
      <c r="U250" s="331"/>
    </row>
    <row r="251" spans="1:21" ht="15.75">
      <c r="A251" s="339"/>
      <c r="B251" s="339"/>
      <c r="C251" s="339"/>
      <c r="D251" s="339"/>
      <c r="E251" s="339"/>
      <c r="F251" s="340"/>
      <c r="G251" s="339"/>
      <c r="H251" s="332" t="s">
        <v>71</v>
      </c>
      <c r="I251" s="332" t="s">
        <v>197</v>
      </c>
      <c r="J251" s="15" t="s">
        <v>75</v>
      </c>
      <c r="K251" s="15" t="s">
        <v>76</v>
      </c>
      <c r="L251" s="15" t="s">
        <v>77</v>
      </c>
      <c r="M251" s="15" t="s">
        <v>78</v>
      </c>
      <c r="N251" s="333" t="s">
        <v>75</v>
      </c>
      <c r="O251" s="333"/>
      <c r="P251" s="333" t="s">
        <v>76</v>
      </c>
      <c r="Q251" s="333"/>
      <c r="R251" s="333" t="s">
        <v>77</v>
      </c>
      <c r="S251" s="333"/>
      <c r="T251" s="333" t="s">
        <v>78</v>
      </c>
      <c r="U251" s="333"/>
    </row>
    <row r="252" spans="1:21" ht="31.5">
      <c r="A252" s="339"/>
      <c r="B252" s="339"/>
      <c r="C252" s="339"/>
      <c r="D252" s="339"/>
      <c r="E252" s="339"/>
      <c r="F252" s="340"/>
      <c r="G252" s="339"/>
      <c r="H252" s="332"/>
      <c r="I252" s="332"/>
      <c r="J252" s="101" t="s">
        <v>64</v>
      </c>
      <c r="K252" s="55" t="s">
        <v>64</v>
      </c>
      <c r="L252" s="55" t="s">
        <v>64</v>
      </c>
      <c r="M252" s="55" t="s">
        <v>64</v>
      </c>
      <c r="N252" s="185" t="s">
        <v>514</v>
      </c>
      <c r="O252" s="185" t="s">
        <v>513</v>
      </c>
      <c r="P252" s="185" t="s">
        <v>514</v>
      </c>
      <c r="Q252" s="185" t="s">
        <v>513</v>
      </c>
      <c r="R252" s="185" t="s">
        <v>514</v>
      </c>
      <c r="S252" s="185" t="s">
        <v>513</v>
      </c>
      <c r="T252" s="185" t="s">
        <v>514</v>
      </c>
      <c r="U252" s="185" t="s">
        <v>513</v>
      </c>
    </row>
    <row r="253" spans="1:21" s="73" customFormat="1" ht="33.75">
      <c r="A253" s="316" t="s">
        <v>487</v>
      </c>
      <c r="B253" s="316"/>
      <c r="C253" s="316"/>
      <c r="D253" s="316"/>
      <c r="E253" s="316"/>
      <c r="F253" s="316"/>
      <c r="G253" s="316"/>
      <c r="H253" s="316"/>
      <c r="I253" s="316"/>
      <c r="J253" s="316"/>
      <c r="K253" s="316"/>
      <c r="L253" s="316"/>
      <c r="M253" s="316"/>
      <c r="N253" s="316"/>
      <c r="O253" s="316"/>
      <c r="P253" s="316"/>
      <c r="Q253" s="316"/>
      <c r="R253" s="316"/>
      <c r="S253" s="316"/>
      <c r="T253" s="316"/>
      <c r="U253" s="316"/>
    </row>
    <row r="254" spans="1:21" ht="76.5">
      <c r="A254" s="372" t="s">
        <v>199</v>
      </c>
      <c r="B254" s="372" t="s">
        <v>200</v>
      </c>
      <c r="C254" s="49" t="s">
        <v>488</v>
      </c>
      <c r="D254" s="41">
        <v>5.5500000000000001E-2</v>
      </c>
      <c r="E254" s="65" t="s">
        <v>112</v>
      </c>
      <c r="F254" s="63">
        <v>1000</v>
      </c>
      <c r="G254" s="42" t="s">
        <v>489</v>
      </c>
      <c r="H254" s="40">
        <v>43101</v>
      </c>
      <c r="I254" s="30">
        <v>43465</v>
      </c>
      <c r="J254" s="50">
        <v>500</v>
      </c>
      <c r="K254" s="50"/>
      <c r="L254" s="50">
        <v>1000</v>
      </c>
      <c r="M254" s="50"/>
      <c r="N254" s="76">
        <v>395</v>
      </c>
      <c r="O254" s="126" t="s">
        <v>683</v>
      </c>
      <c r="P254" s="170">
        <v>0.4</v>
      </c>
      <c r="Q254" s="170" t="s">
        <v>773</v>
      </c>
      <c r="R254" s="199">
        <v>0.68</v>
      </c>
      <c r="S254" s="181" t="s">
        <v>968</v>
      </c>
      <c r="T254" s="199">
        <v>0.68</v>
      </c>
      <c r="U254" s="251" t="s">
        <v>968</v>
      </c>
    </row>
    <row r="255" spans="1:21" ht="78.75">
      <c r="A255" s="372"/>
      <c r="B255" s="372"/>
      <c r="C255" s="49" t="s">
        <v>490</v>
      </c>
      <c r="D255" s="41">
        <v>5.5500000000000001E-2</v>
      </c>
      <c r="E255" s="42" t="s">
        <v>112</v>
      </c>
      <c r="F255" s="63">
        <v>3000</v>
      </c>
      <c r="G255" s="42" t="s">
        <v>491</v>
      </c>
      <c r="H255" s="40">
        <v>43101</v>
      </c>
      <c r="I255" s="30">
        <v>43465</v>
      </c>
      <c r="J255" s="50">
        <v>1500</v>
      </c>
      <c r="K255" s="50"/>
      <c r="L255" s="50">
        <v>3000</v>
      </c>
      <c r="M255" s="50"/>
      <c r="N255" s="76">
        <v>951</v>
      </c>
      <c r="O255" s="126" t="s">
        <v>684</v>
      </c>
      <c r="P255" s="170">
        <v>0.32</v>
      </c>
      <c r="Q255" s="170" t="s">
        <v>774</v>
      </c>
      <c r="R255" s="199">
        <v>0.68</v>
      </c>
      <c r="S255" s="181" t="s">
        <v>969</v>
      </c>
      <c r="T255" s="199">
        <v>0.68</v>
      </c>
      <c r="U255" s="251" t="s">
        <v>969</v>
      </c>
    </row>
    <row r="256" spans="1:21" ht="63">
      <c r="A256" s="372"/>
      <c r="B256" s="372"/>
      <c r="C256" s="372" t="s">
        <v>492</v>
      </c>
      <c r="D256" s="373">
        <v>5.5599999999999997E-2</v>
      </c>
      <c r="E256" s="374" t="s">
        <v>112</v>
      </c>
      <c r="F256" s="375">
        <v>10</v>
      </c>
      <c r="G256" s="53" t="s">
        <v>493</v>
      </c>
      <c r="H256" s="40">
        <v>43101</v>
      </c>
      <c r="I256" s="30">
        <v>43465</v>
      </c>
      <c r="J256" s="375"/>
      <c r="K256" s="375">
        <v>5</v>
      </c>
      <c r="L256" s="375"/>
      <c r="M256" s="375">
        <v>10</v>
      </c>
      <c r="N256" s="362">
        <v>0.25</v>
      </c>
      <c r="O256" s="351" t="s">
        <v>685</v>
      </c>
      <c r="P256" s="358">
        <v>0.4</v>
      </c>
      <c r="Q256" s="356" t="s">
        <v>775</v>
      </c>
      <c r="R256" s="360">
        <v>0.6</v>
      </c>
      <c r="S256" s="357" t="s">
        <v>970</v>
      </c>
      <c r="T256" s="360">
        <v>0.6</v>
      </c>
      <c r="U256" s="347" t="s">
        <v>1010</v>
      </c>
    </row>
    <row r="257" spans="1:21" ht="47.25">
      <c r="A257" s="372"/>
      <c r="B257" s="372"/>
      <c r="C257" s="372"/>
      <c r="D257" s="373"/>
      <c r="E257" s="374"/>
      <c r="F257" s="375"/>
      <c r="G257" s="53" t="s">
        <v>494</v>
      </c>
      <c r="H257" s="40">
        <v>43101</v>
      </c>
      <c r="I257" s="30">
        <v>43465</v>
      </c>
      <c r="J257" s="375"/>
      <c r="K257" s="375">
        <v>0.5</v>
      </c>
      <c r="L257" s="375"/>
      <c r="M257" s="375">
        <v>1</v>
      </c>
      <c r="N257" s="363"/>
      <c r="O257" s="352"/>
      <c r="P257" s="358"/>
      <c r="Q257" s="356"/>
      <c r="R257" s="361"/>
      <c r="S257" s="357"/>
      <c r="T257" s="361"/>
      <c r="U257" s="347"/>
    </row>
    <row r="258" spans="1:21" ht="47.25">
      <c r="A258" s="372"/>
      <c r="B258" s="372"/>
      <c r="C258" s="372"/>
      <c r="D258" s="373"/>
      <c r="E258" s="374"/>
      <c r="F258" s="375"/>
      <c r="G258" s="53" t="s">
        <v>495</v>
      </c>
      <c r="H258" s="40">
        <v>43101</v>
      </c>
      <c r="I258" s="30">
        <v>43465</v>
      </c>
      <c r="J258" s="375"/>
      <c r="K258" s="375">
        <v>0.5</v>
      </c>
      <c r="L258" s="375"/>
      <c r="M258" s="375">
        <v>1</v>
      </c>
      <c r="N258" s="363"/>
      <c r="O258" s="352"/>
      <c r="P258" s="358"/>
      <c r="Q258" s="356"/>
      <c r="R258" s="361"/>
      <c r="S258" s="357"/>
      <c r="T258" s="361"/>
      <c r="U258" s="347"/>
    </row>
    <row r="259" spans="1:21" ht="63">
      <c r="A259" s="372"/>
      <c r="B259" s="372"/>
      <c r="C259" s="372" t="s">
        <v>496</v>
      </c>
      <c r="D259" s="376">
        <v>5.5599999999999997E-2</v>
      </c>
      <c r="E259" s="350" t="s">
        <v>105</v>
      </c>
      <c r="F259" s="359">
        <v>1</v>
      </c>
      <c r="G259" s="61" t="s">
        <v>497</v>
      </c>
      <c r="H259" s="40">
        <v>43101</v>
      </c>
      <c r="I259" s="30">
        <v>43465</v>
      </c>
      <c r="J259" s="359">
        <v>0.25</v>
      </c>
      <c r="K259" s="359">
        <v>0.5</v>
      </c>
      <c r="L259" s="359">
        <v>0.75</v>
      </c>
      <c r="M259" s="359">
        <v>1</v>
      </c>
      <c r="N259" s="348">
        <v>0.25</v>
      </c>
      <c r="O259" s="353" t="s">
        <v>686</v>
      </c>
      <c r="P259" s="359">
        <v>0.75</v>
      </c>
      <c r="Q259" s="356" t="s">
        <v>776</v>
      </c>
      <c r="R259" s="348">
        <v>1</v>
      </c>
      <c r="S259" s="357" t="s">
        <v>971</v>
      </c>
      <c r="T259" s="348">
        <v>1</v>
      </c>
      <c r="U259" s="347" t="s">
        <v>971</v>
      </c>
    </row>
    <row r="260" spans="1:21" ht="47.25">
      <c r="A260" s="372"/>
      <c r="B260" s="372"/>
      <c r="C260" s="372"/>
      <c r="D260" s="350"/>
      <c r="E260" s="350"/>
      <c r="F260" s="359"/>
      <c r="G260" s="61" t="s">
        <v>498</v>
      </c>
      <c r="H260" s="40">
        <v>43101</v>
      </c>
      <c r="I260" s="30">
        <v>43465</v>
      </c>
      <c r="J260" s="359">
        <v>0.25</v>
      </c>
      <c r="K260" s="359">
        <v>0.5</v>
      </c>
      <c r="L260" s="359">
        <v>0.75</v>
      </c>
      <c r="M260" s="359">
        <v>1</v>
      </c>
      <c r="N260" s="348"/>
      <c r="O260" s="353"/>
      <c r="P260" s="359"/>
      <c r="Q260" s="356"/>
      <c r="R260" s="348"/>
      <c r="S260" s="357"/>
      <c r="T260" s="348"/>
      <c r="U260" s="347"/>
    </row>
    <row r="261" spans="1:21" ht="31.5">
      <c r="A261" s="372"/>
      <c r="B261" s="372"/>
      <c r="C261" s="372"/>
      <c r="D261" s="350"/>
      <c r="E261" s="350"/>
      <c r="F261" s="359"/>
      <c r="G261" s="61" t="s">
        <v>499</v>
      </c>
      <c r="H261" s="40">
        <v>43101</v>
      </c>
      <c r="I261" s="30">
        <v>43465</v>
      </c>
      <c r="J261" s="359">
        <v>0.25</v>
      </c>
      <c r="K261" s="359">
        <v>0.5</v>
      </c>
      <c r="L261" s="359">
        <v>0.75</v>
      </c>
      <c r="M261" s="359">
        <v>1</v>
      </c>
      <c r="N261" s="348"/>
      <c r="O261" s="353"/>
      <c r="P261" s="359"/>
      <c r="Q261" s="356"/>
      <c r="R261" s="348"/>
      <c r="S261" s="357"/>
      <c r="T261" s="348"/>
      <c r="U261" s="347"/>
    </row>
    <row r="262" spans="1:21" ht="31.5">
      <c r="A262" s="372"/>
      <c r="B262" s="372"/>
      <c r="C262" s="372"/>
      <c r="D262" s="350"/>
      <c r="E262" s="350"/>
      <c r="F262" s="359"/>
      <c r="G262" s="61" t="s">
        <v>500</v>
      </c>
      <c r="H262" s="40">
        <v>43101</v>
      </c>
      <c r="I262" s="30">
        <v>43465</v>
      </c>
      <c r="J262" s="359">
        <v>0.25</v>
      </c>
      <c r="K262" s="359">
        <v>0.5</v>
      </c>
      <c r="L262" s="359">
        <v>0.75</v>
      </c>
      <c r="M262" s="359">
        <v>1</v>
      </c>
      <c r="N262" s="348"/>
      <c r="O262" s="353"/>
      <c r="P262" s="359"/>
      <c r="Q262" s="356"/>
      <c r="R262" s="348"/>
      <c r="S262" s="357"/>
      <c r="T262" s="348"/>
      <c r="U262" s="347"/>
    </row>
    <row r="263" spans="1:21" ht="189">
      <c r="A263" s="372"/>
      <c r="B263" s="372"/>
      <c r="C263" s="61" t="s">
        <v>501</v>
      </c>
      <c r="D263" s="67">
        <v>5.5500000000000001E-2</v>
      </c>
      <c r="E263" s="62" t="s">
        <v>112</v>
      </c>
      <c r="F263" s="63">
        <v>300</v>
      </c>
      <c r="G263" s="53" t="s">
        <v>502</v>
      </c>
      <c r="H263" s="40">
        <v>43101</v>
      </c>
      <c r="I263" s="30">
        <v>43465</v>
      </c>
      <c r="J263" s="106">
        <v>150</v>
      </c>
      <c r="K263" s="63"/>
      <c r="L263" s="63">
        <v>150</v>
      </c>
      <c r="M263" s="63"/>
      <c r="N263" s="145">
        <v>0.66666666666666663</v>
      </c>
      <c r="O263" s="143" t="s">
        <v>687</v>
      </c>
      <c r="P263" s="171">
        <v>0.67</v>
      </c>
      <c r="Q263" s="170" t="s">
        <v>777</v>
      </c>
      <c r="R263" s="218">
        <v>1</v>
      </c>
      <c r="S263" s="181" t="s">
        <v>972</v>
      </c>
      <c r="T263" s="252">
        <v>1</v>
      </c>
      <c r="U263" s="251" t="s">
        <v>972</v>
      </c>
    </row>
    <row r="264" spans="1:21" ht="102">
      <c r="A264" s="372"/>
      <c r="B264" s="372"/>
      <c r="C264" s="61" t="s">
        <v>503</v>
      </c>
      <c r="D264" s="67">
        <v>5.5500000000000001E-2</v>
      </c>
      <c r="E264" s="62" t="s">
        <v>105</v>
      </c>
      <c r="F264" s="62">
        <v>1</v>
      </c>
      <c r="G264" s="53" t="s">
        <v>504</v>
      </c>
      <c r="H264" s="40">
        <v>43101</v>
      </c>
      <c r="I264" s="30">
        <v>43465</v>
      </c>
      <c r="J264" s="105"/>
      <c r="K264" s="62">
        <v>0.5</v>
      </c>
      <c r="L264" s="62"/>
      <c r="M264" s="62">
        <v>1</v>
      </c>
      <c r="N264" s="105">
        <v>7.0000000000000007E-2</v>
      </c>
      <c r="O264" s="146" t="s">
        <v>688</v>
      </c>
      <c r="P264" s="171">
        <v>0.4</v>
      </c>
      <c r="Q264" s="170" t="s">
        <v>778</v>
      </c>
      <c r="R264" s="177">
        <v>0.76</v>
      </c>
      <c r="S264" s="219" t="s">
        <v>973</v>
      </c>
      <c r="T264" s="250">
        <v>1</v>
      </c>
      <c r="U264" s="261" t="s">
        <v>1011</v>
      </c>
    </row>
    <row r="265" spans="1:21" ht="204.75">
      <c r="A265" s="372"/>
      <c r="B265" s="372"/>
      <c r="C265" s="61" t="s">
        <v>505</v>
      </c>
      <c r="D265" s="67">
        <v>5.5599999999999997E-2</v>
      </c>
      <c r="E265" s="64" t="s">
        <v>105</v>
      </c>
      <c r="F265" s="66">
        <v>1</v>
      </c>
      <c r="G265" s="61" t="s">
        <v>506</v>
      </c>
      <c r="H265" s="40">
        <v>43101</v>
      </c>
      <c r="I265" s="30">
        <v>43465</v>
      </c>
      <c r="J265" s="103">
        <v>0.5</v>
      </c>
      <c r="K265" s="66">
        <v>1</v>
      </c>
      <c r="L265" s="66"/>
      <c r="M265" s="66"/>
      <c r="N265" s="103">
        <v>1</v>
      </c>
      <c r="O265" s="126" t="s">
        <v>689</v>
      </c>
      <c r="P265" s="152">
        <v>1</v>
      </c>
      <c r="Q265" s="170" t="s">
        <v>779</v>
      </c>
      <c r="R265" s="177">
        <v>1</v>
      </c>
      <c r="S265" s="220" t="s">
        <v>974</v>
      </c>
      <c r="T265" s="250">
        <v>1</v>
      </c>
      <c r="U265" s="261" t="s">
        <v>1012</v>
      </c>
    </row>
    <row r="266" spans="1:21" ht="31.5">
      <c r="A266" s="372"/>
      <c r="B266" s="372"/>
      <c r="C266" s="372" t="s">
        <v>507</v>
      </c>
      <c r="D266" s="368">
        <v>5.5599999999999997E-2</v>
      </c>
      <c r="E266" s="350" t="s">
        <v>105</v>
      </c>
      <c r="F266" s="349">
        <v>1</v>
      </c>
      <c r="G266" s="61" t="s">
        <v>508</v>
      </c>
      <c r="H266" s="40">
        <v>43101</v>
      </c>
      <c r="I266" s="30">
        <v>43465</v>
      </c>
      <c r="J266" s="349">
        <v>0.25</v>
      </c>
      <c r="K266" s="349">
        <v>0.5</v>
      </c>
      <c r="L266" s="349">
        <v>0.75</v>
      </c>
      <c r="M266" s="349">
        <v>1</v>
      </c>
      <c r="N266" s="349">
        <v>0.25</v>
      </c>
      <c r="O266" s="354" t="s">
        <v>690</v>
      </c>
      <c r="P266" s="359">
        <v>0.25</v>
      </c>
      <c r="Q266" s="356" t="s">
        <v>780</v>
      </c>
      <c r="R266" s="349">
        <v>0.5</v>
      </c>
      <c r="S266" s="357" t="s">
        <v>975</v>
      </c>
      <c r="T266" s="349">
        <v>1</v>
      </c>
      <c r="U266" s="347" t="s">
        <v>1013</v>
      </c>
    </row>
    <row r="267" spans="1:21" ht="15.75">
      <c r="A267" s="372"/>
      <c r="B267" s="372"/>
      <c r="C267" s="372"/>
      <c r="D267" s="368"/>
      <c r="E267" s="350"/>
      <c r="F267" s="350"/>
      <c r="G267" s="61" t="s">
        <v>509</v>
      </c>
      <c r="H267" s="40">
        <v>43101</v>
      </c>
      <c r="I267" s="30">
        <v>43465</v>
      </c>
      <c r="J267" s="350">
        <v>0.25</v>
      </c>
      <c r="K267" s="350">
        <v>0.5</v>
      </c>
      <c r="L267" s="350">
        <v>0.75</v>
      </c>
      <c r="M267" s="350">
        <v>1</v>
      </c>
      <c r="N267" s="350"/>
      <c r="O267" s="354"/>
      <c r="P267" s="359"/>
      <c r="Q267" s="356"/>
      <c r="R267" s="350"/>
      <c r="S267" s="357"/>
      <c r="T267" s="350"/>
      <c r="U267" s="347"/>
    </row>
    <row r="268" spans="1:21" ht="31.5">
      <c r="A268" s="372"/>
      <c r="B268" s="372"/>
      <c r="C268" s="372" t="s">
        <v>510</v>
      </c>
      <c r="D268" s="368">
        <v>5.5599999999999997E-2</v>
      </c>
      <c r="E268" s="350" t="s">
        <v>105</v>
      </c>
      <c r="F268" s="349">
        <v>1</v>
      </c>
      <c r="G268" s="61" t="s">
        <v>508</v>
      </c>
      <c r="H268" s="40">
        <v>43101</v>
      </c>
      <c r="I268" s="30">
        <v>43465</v>
      </c>
      <c r="J268" s="349">
        <v>0.25</v>
      </c>
      <c r="K268" s="349">
        <v>0.5</v>
      </c>
      <c r="L268" s="349">
        <v>0.75</v>
      </c>
      <c r="M268" s="349">
        <v>1</v>
      </c>
      <c r="N268" s="349">
        <v>0.2</v>
      </c>
      <c r="O268" s="355" t="s">
        <v>691</v>
      </c>
      <c r="P268" s="359">
        <v>0.4</v>
      </c>
      <c r="Q268" s="356" t="s">
        <v>781</v>
      </c>
      <c r="R268" s="349">
        <v>0.7</v>
      </c>
      <c r="S268" s="357" t="s">
        <v>976</v>
      </c>
      <c r="T268" s="349">
        <v>0.9</v>
      </c>
      <c r="U268" s="347" t="s">
        <v>1014</v>
      </c>
    </row>
    <row r="269" spans="1:21" ht="15.75">
      <c r="A269" s="372"/>
      <c r="B269" s="372"/>
      <c r="C269" s="372"/>
      <c r="D269" s="368"/>
      <c r="E269" s="350"/>
      <c r="F269" s="350"/>
      <c r="G269" s="61" t="s">
        <v>509</v>
      </c>
      <c r="H269" s="40">
        <v>43101</v>
      </c>
      <c r="I269" s="30">
        <v>43465</v>
      </c>
      <c r="J269" s="350">
        <v>0.25</v>
      </c>
      <c r="K269" s="350">
        <v>0.5</v>
      </c>
      <c r="L269" s="350">
        <v>0.75</v>
      </c>
      <c r="M269" s="350">
        <v>1</v>
      </c>
      <c r="N269" s="350"/>
      <c r="O269" s="355"/>
      <c r="P269" s="359"/>
      <c r="Q269" s="356"/>
      <c r="R269" s="350"/>
      <c r="S269" s="357"/>
      <c r="T269" s="350"/>
      <c r="U269" s="347"/>
    </row>
    <row r="270" spans="1:21">
      <c r="D270" s="100">
        <f>SUM(D254:D268)</f>
        <v>0.49999999999999994</v>
      </c>
    </row>
  </sheetData>
  <mergeCells count="418">
    <mergeCell ref="Q206:Q207"/>
    <mergeCell ref="O206:O207"/>
    <mergeCell ref="A20:U20"/>
    <mergeCell ref="A159:A177"/>
    <mergeCell ref="B159:B177"/>
    <mergeCell ref="J268:J269"/>
    <mergeCell ref="J259:J262"/>
    <mergeCell ref="K259:K262"/>
    <mergeCell ref="L259:L262"/>
    <mergeCell ref="M259:M262"/>
    <mergeCell ref="C266:C267"/>
    <mergeCell ref="D266:D267"/>
    <mergeCell ref="E266:E267"/>
    <mergeCell ref="F266:F267"/>
    <mergeCell ref="J266:J267"/>
    <mergeCell ref="K266:K267"/>
    <mergeCell ref="L266:L267"/>
    <mergeCell ref="M266:M267"/>
    <mergeCell ref="A205:A240"/>
    <mergeCell ref="B205:B240"/>
    <mergeCell ref="G206:G207"/>
    <mergeCell ref="H206:H207"/>
    <mergeCell ref="I206:I207"/>
    <mergeCell ref="A184:A185"/>
    <mergeCell ref="B184:B185"/>
    <mergeCell ref="A192:A198"/>
    <mergeCell ref="B192:B198"/>
    <mergeCell ref="G144:G146"/>
    <mergeCell ref="H144:I144"/>
    <mergeCell ref="J144:M144"/>
    <mergeCell ref="A254:A269"/>
    <mergeCell ref="B254:B269"/>
    <mergeCell ref="C256:C258"/>
    <mergeCell ref="D256:D258"/>
    <mergeCell ref="E256:E258"/>
    <mergeCell ref="F256:F258"/>
    <mergeCell ref="J256:J258"/>
    <mergeCell ref="K256:K258"/>
    <mergeCell ref="L256:L258"/>
    <mergeCell ref="M256:M258"/>
    <mergeCell ref="C259:C262"/>
    <mergeCell ref="D259:D262"/>
    <mergeCell ref="E259:E262"/>
    <mergeCell ref="F259:F262"/>
    <mergeCell ref="K268:K269"/>
    <mergeCell ref="L268:L269"/>
    <mergeCell ref="M268:M269"/>
    <mergeCell ref="C268:C269"/>
    <mergeCell ref="D268:D269"/>
    <mergeCell ref="E268:E269"/>
    <mergeCell ref="F268:F269"/>
    <mergeCell ref="A148:A152"/>
    <mergeCell ref="B148:B152"/>
    <mergeCell ref="M108:M111"/>
    <mergeCell ref="A125:A131"/>
    <mergeCell ref="A138:A141"/>
    <mergeCell ref="B138:B141"/>
    <mergeCell ref="H108:H111"/>
    <mergeCell ref="I108:I111"/>
    <mergeCell ref="J108:J111"/>
    <mergeCell ref="K108:K111"/>
    <mergeCell ref="L108:L111"/>
    <mergeCell ref="B108:B111"/>
    <mergeCell ref="C108:C111"/>
    <mergeCell ref="D108:D111"/>
    <mergeCell ref="E108:E111"/>
    <mergeCell ref="F108:F111"/>
    <mergeCell ref="A124:U124"/>
    <mergeCell ref="A143:U143"/>
    <mergeCell ref="A144:A146"/>
    <mergeCell ref="B144:B146"/>
    <mergeCell ref="C144:C146"/>
    <mergeCell ref="D144:D146"/>
    <mergeCell ref="E144:E146"/>
    <mergeCell ref="F144:F146"/>
    <mergeCell ref="M101:M103"/>
    <mergeCell ref="B105:B106"/>
    <mergeCell ref="C105:C106"/>
    <mergeCell ref="D105:D106"/>
    <mergeCell ref="E105:E106"/>
    <mergeCell ref="F105:F106"/>
    <mergeCell ref="H105:H106"/>
    <mergeCell ref="I105:I106"/>
    <mergeCell ref="J105:J106"/>
    <mergeCell ref="K105:K106"/>
    <mergeCell ref="L105:L106"/>
    <mergeCell ref="M105:M106"/>
    <mergeCell ref="H101:H103"/>
    <mergeCell ref="I101:I103"/>
    <mergeCell ref="J101:J103"/>
    <mergeCell ref="K101:K103"/>
    <mergeCell ref="L101:L103"/>
    <mergeCell ref="B101:B103"/>
    <mergeCell ref="C101:C103"/>
    <mergeCell ref="D101:D103"/>
    <mergeCell ref="E101:E103"/>
    <mergeCell ref="J86:J89"/>
    <mergeCell ref="K86:K89"/>
    <mergeCell ref="L86:L89"/>
    <mergeCell ref="M86:M89"/>
    <mergeCell ref="M92:M93"/>
    <mergeCell ref="B98:B99"/>
    <mergeCell ref="C98:C99"/>
    <mergeCell ref="D98:D99"/>
    <mergeCell ref="E98:E99"/>
    <mergeCell ref="F98:F99"/>
    <mergeCell ref="H98:H99"/>
    <mergeCell ref="I98:I99"/>
    <mergeCell ref="J98:J99"/>
    <mergeCell ref="K98:K99"/>
    <mergeCell ref="L98:L99"/>
    <mergeCell ref="M98:M99"/>
    <mergeCell ref="H92:H93"/>
    <mergeCell ref="I92:I93"/>
    <mergeCell ref="J92:J93"/>
    <mergeCell ref="K92:K93"/>
    <mergeCell ref="L92:L93"/>
    <mergeCell ref="B92:B93"/>
    <mergeCell ref="C92:C93"/>
    <mergeCell ref="A26:A79"/>
    <mergeCell ref="B26:B79"/>
    <mergeCell ref="A86:A118"/>
    <mergeCell ref="B86:B89"/>
    <mergeCell ref="C86:C89"/>
    <mergeCell ref="D86:D89"/>
    <mergeCell ref="E86:E89"/>
    <mergeCell ref="F86:F89"/>
    <mergeCell ref="H86:H89"/>
    <mergeCell ref="D92:D93"/>
    <mergeCell ref="E92:E93"/>
    <mergeCell ref="F92:F93"/>
    <mergeCell ref="E82:E84"/>
    <mergeCell ref="F82:F84"/>
    <mergeCell ref="G82:G84"/>
    <mergeCell ref="H82:I82"/>
    <mergeCell ref="I86:I89"/>
    <mergeCell ref="F101:F103"/>
    <mergeCell ref="E5:E7"/>
    <mergeCell ref="F5:F7"/>
    <mergeCell ref="A5:A7"/>
    <mergeCell ref="B5:B7"/>
    <mergeCell ref="C5:C7"/>
    <mergeCell ref="D5:D7"/>
    <mergeCell ref="G5:G7"/>
    <mergeCell ref="H5:I5"/>
    <mergeCell ref="J5:M5"/>
    <mergeCell ref="H6:H7"/>
    <mergeCell ref="I6:I7"/>
    <mergeCell ref="N22:U22"/>
    <mergeCell ref="N23:O23"/>
    <mergeCell ref="P23:Q23"/>
    <mergeCell ref="R23:S23"/>
    <mergeCell ref="T23:U23"/>
    <mergeCell ref="A19:U19"/>
    <mergeCell ref="A21:U21"/>
    <mergeCell ref="A8:A14"/>
    <mergeCell ref="B8:B11"/>
    <mergeCell ref="B12:B14"/>
    <mergeCell ref="A22:A24"/>
    <mergeCell ref="B22:B24"/>
    <mergeCell ref="C22:C24"/>
    <mergeCell ref="D22:D24"/>
    <mergeCell ref="E22:E24"/>
    <mergeCell ref="F22:F24"/>
    <mergeCell ref="G22:G24"/>
    <mergeCell ref="H22:I22"/>
    <mergeCell ref="J22:M22"/>
    <mergeCell ref="H23:H24"/>
    <mergeCell ref="I23:I24"/>
    <mergeCell ref="A25:U25"/>
    <mergeCell ref="A85:U85"/>
    <mergeCell ref="A120:U120"/>
    <mergeCell ref="A121:A123"/>
    <mergeCell ref="B121:B123"/>
    <mergeCell ref="C121:C123"/>
    <mergeCell ref="D121:D123"/>
    <mergeCell ref="E121:E123"/>
    <mergeCell ref="F121:F123"/>
    <mergeCell ref="G121:G123"/>
    <mergeCell ref="H121:I121"/>
    <mergeCell ref="J121:M121"/>
    <mergeCell ref="N121:U121"/>
    <mergeCell ref="H122:H123"/>
    <mergeCell ref="I122:I123"/>
    <mergeCell ref="N122:O122"/>
    <mergeCell ref="P122:Q122"/>
    <mergeCell ref="R122:S122"/>
    <mergeCell ref="T122:U122"/>
    <mergeCell ref="A81:U81"/>
    <mergeCell ref="A82:A84"/>
    <mergeCell ref="B82:B84"/>
    <mergeCell ref="C82:C84"/>
    <mergeCell ref="D82:D84"/>
    <mergeCell ref="N144:U144"/>
    <mergeCell ref="H145:H146"/>
    <mergeCell ref="I145:I146"/>
    <mergeCell ref="N145:O145"/>
    <mergeCell ref="P145:Q145"/>
    <mergeCell ref="R145:S145"/>
    <mergeCell ref="T145:U145"/>
    <mergeCell ref="A187:U187"/>
    <mergeCell ref="A188:A190"/>
    <mergeCell ref="B188:B190"/>
    <mergeCell ref="C188:C190"/>
    <mergeCell ref="D188:D190"/>
    <mergeCell ref="E188:E190"/>
    <mergeCell ref="F188:F190"/>
    <mergeCell ref="G188:G190"/>
    <mergeCell ref="H188:I188"/>
    <mergeCell ref="J188:M188"/>
    <mergeCell ref="N188:U188"/>
    <mergeCell ref="H189:H190"/>
    <mergeCell ref="I189:I190"/>
    <mergeCell ref="N189:O189"/>
    <mergeCell ref="P189:Q189"/>
    <mergeCell ref="R189:S189"/>
    <mergeCell ref="T189:U189"/>
    <mergeCell ref="A200:U200"/>
    <mergeCell ref="A201:A203"/>
    <mergeCell ref="B201:B203"/>
    <mergeCell ref="C201:C203"/>
    <mergeCell ref="D201:D203"/>
    <mergeCell ref="E201:E203"/>
    <mergeCell ref="F201:F203"/>
    <mergeCell ref="G201:G203"/>
    <mergeCell ref="H201:I201"/>
    <mergeCell ref="J201:M201"/>
    <mergeCell ref="N201:U201"/>
    <mergeCell ref="H202:H203"/>
    <mergeCell ref="I202:I203"/>
    <mergeCell ref="N202:O202"/>
    <mergeCell ref="P202:Q202"/>
    <mergeCell ref="R202:S202"/>
    <mergeCell ref="T202:U202"/>
    <mergeCell ref="A242:U242"/>
    <mergeCell ref="A243:A245"/>
    <mergeCell ref="B243:B245"/>
    <mergeCell ref="C243:C245"/>
    <mergeCell ref="D243:D245"/>
    <mergeCell ref="E243:E245"/>
    <mergeCell ref="F243:F245"/>
    <mergeCell ref="G243:G245"/>
    <mergeCell ref="H243:I243"/>
    <mergeCell ref="J243:M243"/>
    <mergeCell ref="N243:U243"/>
    <mergeCell ref="H244:H245"/>
    <mergeCell ref="I244:I245"/>
    <mergeCell ref="N244:O244"/>
    <mergeCell ref="P244:Q244"/>
    <mergeCell ref="R244:S244"/>
    <mergeCell ref="T244:U244"/>
    <mergeCell ref="A249:U249"/>
    <mergeCell ref="A250:A252"/>
    <mergeCell ref="B250:B252"/>
    <mergeCell ref="C250:C252"/>
    <mergeCell ref="D250:D252"/>
    <mergeCell ref="E250:E252"/>
    <mergeCell ref="F250:F252"/>
    <mergeCell ref="G250:G252"/>
    <mergeCell ref="H250:I250"/>
    <mergeCell ref="J250:M250"/>
    <mergeCell ref="N250:U250"/>
    <mergeCell ref="H251:H252"/>
    <mergeCell ref="I251:I252"/>
    <mergeCell ref="N251:O251"/>
    <mergeCell ref="P251:Q251"/>
    <mergeCell ref="R251:S251"/>
    <mergeCell ref="T251:U251"/>
    <mergeCell ref="J82:M82"/>
    <mergeCell ref="N82:U82"/>
    <mergeCell ref="H83:H84"/>
    <mergeCell ref="I83:I84"/>
    <mergeCell ref="N83:O83"/>
    <mergeCell ref="P83:Q83"/>
    <mergeCell ref="R83:S83"/>
    <mergeCell ref="T83:U83"/>
    <mergeCell ref="A137:U137"/>
    <mergeCell ref="N86:N89"/>
    <mergeCell ref="O86:O89"/>
    <mergeCell ref="P86:P89"/>
    <mergeCell ref="Q86:Q89"/>
    <mergeCell ref="N92:N93"/>
    <mergeCell ref="O92:O93"/>
    <mergeCell ref="P92:P93"/>
    <mergeCell ref="Q92:Q93"/>
    <mergeCell ref="N98:N99"/>
    <mergeCell ref="O98:O99"/>
    <mergeCell ref="P98:P99"/>
    <mergeCell ref="Q98:Q99"/>
    <mergeCell ref="N101:N103"/>
    <mergeCell ref="O101:O103"/>
    <mergeCell ref="P101:P103"/>
    <mergeCell ref="A147:U147"/>
    <mergeCell ref="A158:U158"/>
    <mergeCell ref="A183:U183"/>
    <mergeCell ref="A191:U191"/>
    <mergeCell ref="A204:U204"/>
    <mergeCell ref="A246:U246"/>
    <mergeCell ref="A253:U253"/>
    <mergeCell ref="N256:N258"/>
    <mergeCell ref="T256:T258"/>
    <mergeCell ref="U256:U258"/>
    <mergeCell ref="D180:D182"/>
    <mergeCell ref="E180:E182"/>
    <mergeCell ref="F180:F182"/>
    <mergeCell ref="G180:G182"/>
    <mergeCell ref="H180:I180"/>
    <mergeCell ref="J180:M180"/>
    <mergeCell ref="N180:U180"/>
    <mergeCell ref="H181:H182"/>
    <mergeCell ref="I181:I182"/>
    <mergeCell ref="N181:O181"/>
    <mergeCell ref="P181:Q181"/>
    <mergeCell ref="R181:S181"/>
    <mergeCell ref="T181:U181"/>
    <mergeCell ref="A154:U154"/>
    <mergeCell ref="N268:N269"/>
    <mergeCell ref="P256:P258"/>
    <mergeCell ref="P259:P262"/>
    <mergeCell ref="P266:P267"/>
    <mergeCell ref="P268:P269"/>
    <mergeCell ref="R256:R258"/>
    <mergeCell ref="R259:R262"/>
    <mergeCell ref="R266:R267"/>
    <mergeCell ref="R268:R269"/>
    <mergeCell ref="U259:U262"/>
    <mergeCell ref="U266:U267"/>
    <mergeCell ref="U268:U269"/>
    <mergeCell ref="A179:U179"/>
    <mergeCell ref="A180:A182"/>
    <mergeCell ref="B180:B182"/>
    <mergeCell ref="C180:C182"/>
    <mergeCell ref="T259:T262"/>
    <mergeCell ref="T266:T267"/>
    <mergeCell ref="T268:T269"/>
    <mergeCell ref="O256:O258"/>
    <mergeCell ref="O259:O262"/>
    <mergeCell ref="O266:O267"/>
    <mergeCell ref="O268:O269"/>
    <mergeCell ref="Q256:Q258"/>
    <mergeCell ref="Q259:Q262"/>
    <mergeCell ref="Q266:Q267"/>
    <mergeCell ref="Q268:Q269"/>
    <mergeCell ref="S256:S258"/>
    <mergeCell ref="S259:S262"/>
    <mergeCell ref="S266:S267"/>
    <mergeCell ref="S268:S269"/>
    <mergeCell ref="N259:N262"/>
    <mergeCell ref="N266:N267"/>
    <mergeCell ref="Q101:Q103"/>
    <mergeCell ref="N105:N106"/>
    <mergeCell ref="O105:O106"/>
    <mergeCell ref="P105:P106"/>
    <mergeCell ref="Q105:Q106"/>
    <mergeCell ref="N108:N111"/>
    <mergeCell ref="O108:O111"/>
    <mergeCell ref="P108:P111"/>
    <mergeCell ref="Q108:Q111"/>
    <mergeCell ref="R86:R89"/>
    <mergeCell ref="S86:S89"/>
    <mergeCell ref="T86:T89"/>
    <mergeCell ref="U86:U89"/>
    <mergeCell ref="R92:R93"/>
    <mergeCell ref="S92:S93"/>
    <mergeCell ref="T92:T93"/>
    <mergeCell ref="U92:U93"/>
    <mergeCell ref="R98:R99"/>
    <mergeCell ref="S98:S99"/>
    <mergeCell ref="T98:T99"/>
    <mergeCell ref="U98:U99"/>
    <mergeCell ref="A4:Y4"/>
    <mergeCell ref="A155:A157"/>
    <mergeCell ref="B155:B157"/>
    <mergeCell ref="C155:C157"/>
    <mergeCell ref="D155:D157"/>
    <mergeCell ref="E155:E157"/>
    <mergeCell ref="F155:F157"/>
    <mergeCell ref="G155:G157"/>
    <mergeCell ref="H155:I155"/>
    <mergeCell ref="J155:M155"/>
    <mergeCell ref="A133:U133"/>
    <mergeCell ref="A134:A136"/>
    <mergeCell ref="B134:B136"/>
    <mergeCell ref="C134:C136"/>
    <mergeCell ref="D134:D136"/>
    <mergeCell ref="E134:E136"/>
    <mergeCell ref="F134:F136"/>
    <mergeCell ref="G134:G136"/>
    <mergeCell ref="H134:I134"/>
    <mergeCell ref="J134:M134"/>
    <mergeCell ref="N134:U134"/>
    <mergeCell ref="H135:H136"/>
    <mergeCell ref="I135:I136"/>
    <mergeCell ref="N135:O135"/>
    <mergeCell ref="S206:S207"/>
    <mergeCell ref="N155:U155"/>
    <mergeCell ref="H156:H157"/>
    <mergeCell ref="I156:I157"/>
    <mergeCell ref="N156:O156"/>
    <mergeCell ref="P156:Q156"/>
    <mergeCell ref="R156:S156"/>
    <mergeCell ref="T156:U156"/>
    <mergeCell ref="N5:Y6"/>
    <mergeCell ref="P135:Q135"/>
    <mergeCell ref="R135:S135"/>
    <mergeCell ref="T135:U135"/>
    <mergeCell ref="R101:R103"/>
    <mergeCell ref="S101:S103"/>
    <mergeCell ref="T101:T103"/>
    <mergeCell ref="U101:U103"/>
    <mergeCell ref="R105:R106"/>
    <mergeCell ref="S105:S106"/>
    <mergeCell ref="T105:T106"/>
    <mergeCell ref="U105:U106"/>
    <mergeCell ref="R108:R111"/>
    <mergeCell ref="S108:S111"/>
    <mergeCell ref="T108:T111"/>
    <mergeCell ref="U108:U111"/>
  </mergeCells>
  <pageMargins left="0.7" right="0.7" top="0.75" bottom="0.75" header="0.3" footer="0.3"/>
  <pageSetup orientation="portrait" horizontalDpi="4294967294" verticalDpi="4294967294"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Categorías!$A$3:$A$9</xm:f>
          </x14:formula1>
          <xm:sqref>A8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8080"/>
  </sheetPr>
  <dimension ref="A1:Z22"/>
  <sheetViews>
    <sheetView zoomScale="70" zoomScaleNormal="70" workbookViewId="0">
      <pane xSplit="12" ySplit="6" topLeftCell="M7" activePane="bottomRight" state="frozen"/>
      <selection pane="topRight" activeCell="M1" sqref="M1"/>
      <selection pane="bottomLeft" activeCell="A7" sqref="A7"/>
      <selection pane="bottomRight" activeCell="AB11" sqref="AB11"/>
    </sheetView>
  </sheetViews>
  <sheetFormatPr baseColWidth="10" defaultColWidth="10.7109375" defaultRowHeight="12.75"/>
  <cols>
    <col min="1" max="1" width="19.7109375" customWidth="1"/>
    <col min="2" max="2" width="21.28515625" customWidth="1"/>
    <col min="3" max="3" width="26.85546875" customWidth="1"/>
    <col min="4" max="4" width="17.28515625" style="11" customWidth="1"/>
    <col min="5" max="5" width="13.28515625" customWidth="1"/>
    <col min="6" max="6" width="13.7109375" style="11" customWidth="1"/>
    <col min="7" max="7" width="38.5703125" customWidth="1"/>
    <col min="8" max="8" width="20" hidden="1" customWidth="1"/>
    <col min="9" max="10" width="17.140625" hidden="1" customWidth="1"/>
    <col min="11" max="11" width="28.5703125" hidden="1" customWidth="1"/>
    <col min="12" max="12" width="17.85546875" hidden="1" customWidth="1"/>
    <col min="13" max="13" width="18.5703125" customWidth="1"/>
    <col min="14" max="14" width="13.42578125" customWidth="1"/>
    <col min="15" max="15" width="13.7109375" customWidth="1"/>
    <col min="16" max="16" width="12.7109375" customWidth="1"/>
    <col min="17" max="17" width="12.42578125" customWidth="1"/>
    <col min="18" max="18" width="11.5703125" customWidth="1"/>
    <col min="19" max="19" width="14.5703125" customWidth="1"/>
    <col min="20" max="20" width="13.5703125" customWidth="1"/>
    <col min="21" max="21" width="11.7109375" customWidth="1"/>
    <col min="25" max="25" width="13" customWidth="1"/>
    <col min="26" max="26" width="24.140625" style="223" customWidth="1"/>
  </cols>
  <sheetData>
    <row r="1" spans="1:26" ht="36" customHeight="1"/>
    <row r="2" spans="1:26" ht="24" customHeight="1"/>
    <row r="4" spans="1:26" ht="33.75">
      <c r="A4" s="337" t="s">
        <v>512</v>
      </c>
      <c r="B4" s="338"/>
      <c r="C4" s="338"/>
      <c r="D4" s="338"/>
      <c r="E4" s="338"/>
      <c r="F4" s="338"/>
      <c r="G4" s="338"/>
      <c r="H4" s="338"/>
      <c r="I4" s="338"/>
      <c r="J4" s="338"/>
      <c r="K4" s="338"/>
      <c r="L4" s="338"/>
      <c r="M4" s="338"/>
      <c r="N4" s="338"/>
      <c r="O4" s="338"/>
      <c r="P4" s="338"/>
      <c r="Q4" s="338"/>
      <c r="R4" s="338"/>
      <c r="S4" s="338"/>
      <c r="T4" s="338"/>
      <c r="U4" s="338"/>
      <c r="V4" s="338"/>
      <c r="W4" s="338"/>
      <c r="X4" s="338"/>
      <c r="Y4" s="338"/>
    </row>
    <row r="5" spans="1:26" ht="33" customHeight="1">
      <c r="A5" s="326" t="s">
        <v>103</v>
      </c>
      <c r="B5" s="326" t="s">
        <v>74</v>
      </c>
      <c r="C5" s="326" t="s">
        <v>65</v>
      </c>
      <c r="D5" s="388" t="s">
        <v>66</v>
      </c>
      <c r="E5" s="326" t="s">
        <v>67</v>
      </c>
      <c r="F5" s="388" t="s">
        <v>68</v>
      </c>
      <c r="G5" s="326" t="s">
        <v>69</v>
      </c>
      <c r="H5" s="328" t="s">
        <v>70</v>
      </c>
      <c r="I5" s="328"/>
      <c r="J5" s="326" t="s">
        <v>79</v>
      </c>
      <c r="K5" s="326"/>
      <c r="L5" s="326"/>
      <c r="M5" s="326"/>
      <c r="N5" s="317" t="s">
        <v>558</v>
      </c>
      <c r="O5" s="317"/>
      <c r="P5" s="317"/>
      <c r="Q5" s="317"/>
      <c r="R5" s="317"/>
      <c r="S5" s="317"/>
      <c r="T5" s="317"/>
      <c r="U5" s="317"/>
      <c r="V5" s="317"/>
      <c r="W5" s="317"/>
      <c r="X5" s="317"/>
      <c r="Y5" s="317"/>
    </row>
    <row r="6" spans="1:26" ht="30" customHeight="1">
      <c r="A6" s="326"/>
      <c r="B6" s="326"/>
      <c r="C6" s="326"/>
      <c r="D6" s="388"/>
      <c r="E6" s="326"/>
      <c r="F6" s="388"/>
      <c r="G6" s="326"/>
      <c r="H6" s="326" t="s">
        <v>71</v>
      </c>
      <c r="I6" s="326" t="s">
        <v>72</v>
      </c>
      <c r="J6" s="116" t="s">
        <v>75</v>
      </c>
      <c r="K6" s="116" t="s">
        <v>76</v>
      </c>
      <c r="L6" s="116" t="s">
        <v>77</v>
      </c>
      <c r="M6" s="116" t="s">
        <v>78</v>
      </c>
      <c r="N6" s="317"/>
      <c r="O6" s="317"/>
      <c r="P6" s="317"/>
      <c r="Q6" s="317"/>
      <c r="R6" s="317"/>
      <c r="S6" s="317"/>
      <c r="T6" s="317"/>
      <c r="U6" s="317"/>
      <c r="V6" s="317"/>
      <c r="W6" s="317"/>
      <c r="X6" s="317"/>
      <c r="Y6" s="317"/>
    </row>
    <row r="7" spans="1:26" ht="58.5" customHeight="1">
      <c r="A7" s="326"/>
      <c r="B7" s="326"/>
      <c r="C7" s="326"/>
      <c r="D7" s="388"/>
      <c r="E7" s="326"/>
      <c r="F7" s="388"/>
      <c r="G7" s="326"/>
      <c r="H7" s="326"/>
      <c r="I7" s="326"/>
      <c r="J7" s="117" t="s">
        <v>138</v>
      </c>
      <c r="K7" s="117" t="s">
        <v>138</v>
      </c>
      <c r="L7" s="117" t="s">
        <v>138</v>
      </c>
      <c r="M7" s="117" t="s">
        <v>138</v>
      </c>
      <c r="N7" s="184" t="s">
        <v>198</v>
      </c>
      <c r="O7" s="184" t="s">
        <v>349</v>
      </c>
      <c r="P7" s="184" t="s">
        <v>283</v>
      </c>
      <c r="Q7" s="184" t="s">
        <v>371</v>
      </c>
      <c r="R7" s="184" t="s">
        <v>380</v>
      </c>
      <c r="S7" s="184" t="s">
        <v>391</v>
      </c>
      <c r="T7" s="184" t="s">
        <v>487</v>
      </c>
      <c r="U7" s="184" t="s">
        <v>392</v>
      </c>
      <c r="V7" s="184" t="s">
        <v>555</v>
      </c>
      <c r="W7" s="184" t="s">
        <v>397</v>
      </c>
      <c r="X7" s="184" t="s">
        <v>556</v>
      </c>
      <c r="Y7" s="184" t="s">
        <v>557</v>
      </c>
    </row>
    <row r="8" spans="1:26" ht="84" customHeight="1">
      <c r="A8" s="319" t="s">
        <v>58</v>
      </c>
      <c r="B8" s="386" t="s">
        <v>82</v>
      </c>
      <c r="C8" s="81" t="s">
        <v>141</v>
      </c>
      <c r="D8" s="82">
        <v>0.12</v>
      </c>
      <c r="E8" s="81" t="s">
        <v>105</v>
      </c>
      <c r="F8" s="82">
        <v>1</v>
      </c>
      <c r="G8" s="83" t="s">
        <v>83</v>
      </c>
      <c r="H8" s="84">
        <v>43102</v>
      </c>
      <c r="I8" s="84">
        <v>43462</v>
      </c>
      <c r="J8" s="82">
        <v>0.25</v>
      </c>
      <c r="K8" s="82">
        <v>0.5</v>
      </c>
      <c r="L8" s="82">
        <v>0.75</v>
      </c>
      <c r="M8" s="82">
        <v>1</v>
      </c>
      <c r="N8" s="121">
        <v>1</v>
      </c>
      <c r="O8" s="82">
        <v>1</v>
      </c>
      <c r="P8" s="82">
        <v>1</v>
      </c>
      <c r="Q8" s="82">
        <v>0.25</v>
      </c>
      <c r="R8" s="82">
        <v>0.97</v>
      </c>
      <c r="S8" s="121">
        <v>1</v>
      </c>
      <c r="T8" s="82">
        <v>1</v>
      </c>
      <c r="U8" s="121">
        <v>1</v>
      </c>
      <c r="V8" s="82">
        <v>0.9</v>
      </c>
      <c r="W8" s="82">
        <v>1</v>
      </c>
      <c r="X8" s="82">
        <v>1</v>
      </c>
      <c r="Y8" s="232">
        <f>+AVERAGE(N8:X8)</f>
        <v>0.91999999999999993</v>
      </c>
      <c r="Z8" s="222"/>
    </row>
    <row r="9" spans="1:26" ht="45">
      <c r="A9" s="319"/>
      <c r="B9" s="386"/>
      <c r="C9" s="81" t="s">
        <v>139</v>
      </c>
      <c r="D9" s="82">
        <v>0.12</v>
      </c>
      <c r="E9" s="81" t="s">
        <v>105</v>
      </c>
      <c r="F9" s="82">
        <v>1</v>
      </c>
      <c r="G9" s="85" t="s">
        <v>132</v>
      </c>
      <c r="H9" s="84">
        <v>43102</v>
      </c>
      <c r="I9" s="84">
        <v>43462</v>
      </c>
      <c r="J9" s="82">
        <v>0.15</v>
      </c>
      <c r="K9" s="82">
        <v>0.3</v>
      </c>
      <c r="L9" s="82">
        <v>0.6</v>
      </c>
      <c r="M9" s="82">
        <v>1</v>
      </c>
      <c r="N9" s="296">
        <v>0.99970000000000003</v>
      </c>
      <c r="O9" s="82">
        <v>0.66700000000000004</v>
      </c>
      <c r="P9" s="82">
        <f>2891696/2939635</f>
        <v>0.9836921930783924</v>
      </c>
      <c r="Q9" s="82">
        <v>0.94</v>
      </c>
      <c r="R9" s="82">
        <v>0.95730000000000004</v>
      </c>
      <c r="S9" s="121">
        <v>1</v>
      </c>
      <c r="T9" s="82">
        <v>0.92</v>
      </c>
      <c r="U9" s="278">
        <v>1</v>
      </c>
      <c r="V9" s="82">
        <v>0.85</v>
      </c>
      <c r="W9" s="82">
        <v>1</v>
      </c>
      <c r="X9" s="82">
        <v>0.95</v>
      </c>
      <c r="Y9" s="232">
        <f t="shared" ref="Y9:Y18" si="0">+AVERAGE(N9:X9)</f>
        <v>0.93342656300712645</v>
      </c>
      <c r="Z9" s="222"/>
    </row>
    <row r="10" spans="1:26" ht="120">
      <c r="A10" s="319"/>
      <c r="B10" s="386"/>
      <c r="C10" s="81" t="s">
        <v>142</v>
      </c>
      <c r="D10" s="82">
        <v>0.12</v>
      </c>
      <c r="E10" s="81" t="s">
        <v>105</v>
      </c>
      <c r="F10" s="82">
        <v>1</v>
      </c>
      <c r="G10" s="85" t="s">
        <v>133</v>
      </c>
      <c r="H10" s="84">
        <v>43102</v>
      </c>
      <c r="I10" s="84">
        <v>43462</v>
      </c>
      <c r="J10" s="82">
        <v>0.15</v>
      </c>
      <c r="K10" s="82">
        <v>0.3</v>
      </c>
      <c r="L10" s="82">
        <v>0.7</v>
      </c>
      <c r="M10" s="82">
        <v>1</v>
      </c>
      <c r="N10" s="122">
        <v>1</v>
      </c>
      <c r="O10" s="82">
        <v>1</v>
      </c>
      <c r="P10" s="82">
        <v>0.80825000000000002</v>
      </c>
      <c r="Q10" s="82">
        <v>1</v>
      </c>
      <c r="R10" s="82">
        <v>0.96</v>
      </c>
      <c r="S10" s="121">
        <v>1</v>
      </c>
      <c r="T10" s="82">
        <v>0.9</v>
      </c>
      <c r="U10" s="121">
        <v>1</v>
      </c>
      <c r="V10" s="82">
        <v>0.7</v>
      </c>
      <c r="W10" s="82">
        <v>1</v>
      </c>
      <c r="X10" s="82">
        <v>0.6</v>
      </c>
      <c r="Y10" s="232">
        <f t="shared" si="0"/>
        <v>0.90620454545454543</v>
      </c>
      <c r="Z10" s="222"/>
    </row>
    <row r="11" spans="1:26" ht="75">
      <c r="A11" s="319"/>
      <c r="B11" s="386"/>
      <c r="C11" s="81" t="s">
        <v>143</v>
      </c>
      <c r="D11" s="82">
        <v>0.12</v>
      </c>
      <c r="E11" s="81" t="s">
        <v>105</v>
      </c>
      <c r="F11" s="82">
        <v>1</v>
      </c>
      <c r="G11" s="85" t="s">
        <v>84</v>
      </c>
      <c r="H11" s="84">
        <v>43102</v>
      </c>
      <c r="I11" s="84">
        <v>43462</v>
      </c>
      <c r="J11" s="82">
        <v>0.15</v>
      </c>
      <c r="K11" s="82">
        <v>0.3</v>
      </c>
      <c r="L11" s="82">
        <v>0.7</v>
      </c>
      <c r="M11" s="82">
        <v>1</v>
      </c>
      <c r="N11" s="122">
        <v>1</v>
      </c>
      <c r="O11" s="82">
        <v>1</v>
      </c>
      <c r="P11" s="82">
        <v>1</v>
      </c>
      <c r="Q11" s="82">
        <v>1</v>
      </c>
      <c r="R11" s="82">
        <v>1</v>
      </c>
      <c r="S11" s="121">
        <v>1</v>
      </c>
      <c r="T11" s="82">
        <v>0.5</v>
      </c>
      <c r="U11" s="121">
        <v>1</v>
      </c>
      <c r="V11" s="82">
        <v>0.8</v>
      </c>
      <c r="W11" s="82">
        <v>1</v>
      </c>
      <c r="X11" s="82">
        <v>0.7</v>
      </c>
      <c r="Y11" s="232">
        <f t="shared" si="0"/>
        <v>0.90909090909090906</v>
      </c>
      <c r="Z11" s="222"/>
    </row>
    <row r="12" spans="1:26" ht="135">
      <c r="A12" s="319"/>
      <c r="B12" s="386"/>
      <c r="C12" s="81" t="s">
        <v>144</v>
      </c>
      <c r="D12" s="82">
        <v>0.05</v>
      </c>
      <c r="E12" s="81" t="s">
        <v>105</v>
      </c>
      <c r="F12" s="82">
        <v>1</v>
      </c>
      <c r="G12" s="85" t="s">
        <v>85</v>
      </c>
      <c r="H12" s="84">
        <v>43102</v>
      </c>
      <c r="I12" s="84">
        <v>43462</v>
      </c>
      <c r="J12" s="82">
        <v>0.25</v>
      </c>
      <c r="K12" s="82">
        <v>0.5</v>
      </c>
      <c r="L12" s="82">
        <v>0.75</v>
      </c>
      <c r="M12" s="82">
        <v>1</v>
      </c>
      <c r="N12" s="122">
        <v>1</v>
      </c>
      <c r="O12" s="82">
        <v>1</v>
      </c>
      <c r="P12" s="82">
        <v>1</v>
      </c>
      <c r="Q12" s="82">
        <v>1</v>
      </c>
      <c r="R12" s="82">
        <v>1</v>
      </c>
      <c r="S12" s="121">
        <v>1</v>
      </c>
      <c r="T12" s="82">
        <v>1</v>
      </c>
      <c r="U12" s="121">
        <v>1</v>
      </c>
      <c r="V12" s="82">
        <v>0.6</v>
      </c>
      <c r="W12" s="82">
        <v>1</v>
      </c>
      <c r="X12" s="82">
        <v>0.9</v>
      </c>
      <c r="Y12" s="232">
        <f t="shared" si="0"/>
        <v>0.95454545454545459</v>
      </c>
      <c r="Z12" s="222"/>
    </row>
    <row r="13" spans="1:26" ht="30">
      <c r="A13" s="319"/>
      <c r="B13" s="386"/>
      <c r="C13" s="81" t="s">
        <v>145</v>
      </c>
      <c r="D13" s="82">
        <v>0.04</v>
      </c>
      <c r="E13" s="81" t="s">
        <v>105</v>
      </c>
      <c r="F13" s="82">
        <v>1</v>
      </c>
      <c r="G13" s="85" t="s">
        <v>134</v>
      </c>
      <c r="H13" s="84">
        <v>43102</v>
      </c>
      <c r="I13" s="84">
        <v>43462</v>
      </c>
      <c r="J13" s="82">
        <v>1</v>
      </c>
      <c r="K13" s="82">
        <v>1</v>
      </c>
      <c r="L13" s="82">
        <v>1</v>
      </c>
      <c r="M13" s="82">
        <v>1</v>
      </c>
      <c r="N13" s="122">
        <v>1</v>
      </c>
      <c r="O13" s="82">
        <v>1</v>
      </c>
      <c r="P13" s="82">
        <v>1</v>
      </c>
      <c r="Q13" s="82">
        <v>1</v>
      </c>
      <c r="R13" s="82">
        <v>1</v>
      </c>
      <c r="S13" s="307"/>
      <c r="T13" s="82">
        <v>1</v>
      </c>
      <c r="U13" s="121">
        <v>1</v>
      </c>
      <c r="V13" s="82">
        <v>0.68</v>
      </c>
      <c r="W13" s="82">
        <v>1</v>
      </c>
      <c r="X13" s="82" t="s">
        <v>1050</v>
      </c>
      <c r="Y13" s="232">
        <f t="shared" si="0"/>
        <v>0.96444444444444444</v>
      </c>
      <c r="Z13" s="222"/>
    </row>
    <row r="14" spans="1:26" ht="104.25" customHeight="1">
      <c r="A14" s="319"/>
      <c r="B14" s="387" t="s">
        <v>86</v>
      </c>
      <c r="C14" s="81" t="s">
        <v>146</v>
      </c>
      <c r="D14" s="82">
        <v>0.04</v>
      </c>
      <c r="E14" s="81" t="s">
        <v>105</v>
      </c>
      <c r="F14" s="82">
        <v>1</v>
      </c>
      <c r="G14" s="85" t="s">
        <v>135</v>
      </c>
      <c r="H14" s="84">
        <v>43102</v>
      </c>
      <c r="I14" s="84">
        <v>43462</v>
      </c>
      <c r="J14" s="82">
        <v>0.1</v>
      </c>
      <c r="K14" s="82">
        <v>0.3</v>
      </c>
      <c r="L14" s="82">
        <v>0.7</v>
      </c>
      <c r="M14" s="82">
        <v>1</v>
      </c>
      <c r="N14" s="122">
        <v>0.81</v>
      </c>
      <c r="O14" s="82">
        <v>1</v>
      </c>
      <c r="P14" s="82">
        <v>1</v>
      </c>
      <c r="Q14" s="82">
        <v>1</v>
      </c>
      <c r="R14" s="82">
        <v>0.9</v>
      </c>
      <c r="S14" s="121">
        <v>0.92</v>
      </c>
      <c r="T14" s="82">
        <v>1</v>
      </c>
      <c r="U14" s="121">
        <v>1</v>
      </c>
      <c r="V14" s="82">
        <v>0.3</v>
      </c>
      <c r="W14" s="82">
        <v>1</v>
      </c>
      <c r="X14" s="82">
        <v>1</v>
      </c>
      <c r="Y14" s="232">
        <f t="shared" si="0"/>
        <v>0.90272727272727271</v>
      </c>
      <c r="Z14" s="222"/>
    </row>
    <row r="15" spans="1:26" ht="75">
      <c r="A15" s="319"/>
      <c r="B15" s="387"/>
      <c r="C15" s="81" t="s">
        <v>147</v>
      </c>
      <c r="D15" s="82">
        <v>0.05</v>
      </c>
      <c r="E15" s="81" t="s">
        <v>105</v>
      </c>
      <c r="F15" s="82">
        <v>1</v>
      </c>
      <c r="G15" s="85" t="s">
        <v>87</v>
      </c>
      <c r="H15" s="84">
        <v>43102</v>
      </c>
      <c r="I15" s="84">
        <v>43462</v>
      </c>
      <c r="J15" s="82">
        <v>0.15</v>
      </c>
      <c r="K15" s="82">
        <v>0.3</v>
      </c>
      <c r="L15" s="82">
        <v>0.7</v>
      </c>
      <c r="M15" s="82">
        <v>1</v>
      </c>
      <c r="N15" s="122">
        <v>1</v>
      </c>
      <c r="O15" s="121">
        <v>1</v>
      </c>
      <c r="P15" s="121">
        <v>1</v>
      </c>
      <c r="Q15" s="269">
        <v>1</v>
      </c>
      <c r="R15" s="121">
        <v>1</v>
      </c>
      <c r="S15" s="278">
        <v>1</v>
      </c>
      <c r="T15" s="122">
        <v>1</v>
      </c>
      <c r="U15" s="121">
        <v>1</v>
      </c>
      <c r="V15" s="122">
        <v>0</v>
      </c>
      <c r="W15" s="122">
        <v>1</v>
      </c>
      <c r="X15" s="122">
        <v>1</v>
      </c>
      <c r="Y15" s="232">
        <f t="shared" si="0"/>
        <v>0.90909090909090906</v>
      </c>
      <c r="Z15" s="222"/>
    </row>
    <row r="16" spans="1:26" ht="83.25" customHeight="1">
      <c r="A16" s="319"/>
      <c r="B16" s="387"/>
      <c r="C16" s="81" t="s">
        <v>148</v>
      </c>
      <c r="D16" s="82">
        <v>0.12</v>
      </c>
      <c r="E16" s="81" t="s">
        <v>105</v>
      </c>
      <c r="F16" s="82">
        <v>1</v>
      </c>
      <c r="G16" s="85" t="s">
        <v>88</v>
      </c>
      <c r="H16" s="84">
        <v>43102</v>
      </c>
      <c r="I16" s="84">
        <v>43462</v>
      </c>
      <c r="J16" s="82">
        <v>0.15</v>
      </c>
      <c r="K16" s="82">
        <v>0.4</v>
      </c>
      <c r="L16" s="82">
        <v>0.7</v>
      </c>
      <c r="M16" s="82">
        <v>1</v>
      </c>
      <c r="N16" s="122">
        <v>1</v>
      </c>
      <c r="O16" s="121">
        <v>1</v>
      </c>
      <c r="P16" s="121">
        <v>1</v>
      </c>
      <c r="Q16" s="269">
        <v>1</v>
      </c>
      <c r="R16" s="121">
        <v>1</v>
      </c>
      <c r="S16" s="121">
        <v>0.5</v>
      </c>
      <c r="T16" s="122">
        <v>1</v>
      </c>
      <c r="U16" s="121">
        <v>1</v>
      </c>
      <c r="V16" s="122">
        <v>1</v>
      </c>
      <c r="W16" s="122">
        <v>1</v>
      </c>
      <c r="X16" s="122">
        <v>1</v>
      </c>
      <c r="Y16" s="232">
        <f t="shared" si="0"/>
        <v>0.95454545454545459</v>
      </c>
      <c r="Z16" s="222"/>
    </row>
    <row r="17" spans="1:26" ht="59.25" customHeight="1">
      <c r="A17" s="319"/>
      <c r="B17" s="387"/>
      <c r="C17" s="81" t="s">
        <v>149</v>
      </c>
      <c r="D17" s="82">
        <v>0.05</v>
      </c>
      <c r="E17" s="81" t="s">
        <v>105</v>
      </c>
      <c r="F17" s="82">
        <v>1</v>
      </c>
      <c r="G17" s="86" t="s">
        <v>136</v>
      </c>
      <c r="H17" s="84">
        <v>43102</v>
      </c>
      <c r="I17" s="84">
        <v>43462</v>
      </c>
      <c r="J17" s="82">
        <v>0.25</v>
      </c>
      <c r="K17" s="82">
        <v>0.5</v>
      </c>
      <c r="L17" s="82">
        <v>0.75</v>
      </c>
      <c r="M17" s="82">
        <v>1</v>
      </c>
      <c r="N17" s="122">
        <v>1</v>
      </c>
      <c r="O17" s="121">
        <v>1</v>
      </c>
      <c r="P17" s="121">
        <v>1</v>
      </c>
      <c r="Q17" s="269">
        <v>1</v>
      </c>
      <c r="R17" s="121">
        <v>1</v>
      </c>
      <c r="S17" s="121">
        <v>1</v>
      </c>
      <c r="T17" s="122">
        <v>0.8</v>
      </c>
      <c r="U17" s="121">
        <v>1</v>
      </c>
      <c r="V17" s="122">
        <v>0.6</v>
      </c>
      <c r="W17" s="122">
        <v>1</v>
      </c>
      <c r="X17" s="122">
        <v>1</v>
      </c>
      <c r="Y17" s="232">
        <f t="shared" si="0"/>
        <v>0.94545454545454544</v>
      </c>
      <c r="Z17" s="222"/>
    </row>
    <row r="18" spans="1:26" ht="79.5" customHeight="1">
      <c r="A18" s="319"/>
      <c r="B18" s="387"/>
      <c r="C18" s="81" t="s">
        <v>150</v>
      </c>
      <c r="D18" s="82">
        <v>0.05</v>
      </c>
      <c r="E18" s="81" t="s">
        <v>105</v>
      </c>
      <c r="F18" s="82">
        <v>1</v>
      </c>
      <c r="G18" s="85" t="s">
        <v>140</v>
      </c>
      <c r="H18" s="84">
        <v>43102</v>
      </c>
      <c r="I18" s="84">
        <v>43462</v>
      </c>
      <c r="J18" s="82">
        <v>0.25</v>
      </c>
      <c r="K18" s="82">
        <v>0.5</v>
      </c>
      <c r="L18" s="82">
        <v>0.75</v>
      </c>
      <c r="M18" s="82">
        <v>1</v>
      </c>
      <c r="N18" s="122">
        <v>1</v>
      </c>
      <c r="O18" s="121">
        <v>1</v>
      </c>
      <c r="P18" s="121">
        <v>1</v>
      </c>
      <c r="Q18" s="269">
        <v>1</v>
      </c>
      <c r="R18" s="121">
        <v>1</v>
      </c>
      <c r="S18" s="121">
        <v>1</v>
      </c>
      <c r="T18" s="122">
        <v>0.75</v>
      </c>
      <c r="U18" s="121">
        <v>1</v>
      </c>
      <c r="V18" s="122">
        <v>0.75</v>
      </c>
      <c r="W18" s="122">
        <v>0.9</v>
      </c>
      <c r="X18" s="122">
        <v>1</v>
      </c>
      <c r="Y18" s="232">
        <f t="shared" si="0"/>
        <v>0.94545454545454544</v>
      </c>
      <c r="Z18" s="222"/>
    </row>
    <row r="19" spans="1:26" ht="105">
      <c r="A19" s="319"/>
      <c r="B19" s="387"/>
      <c r="C19" s="81" t="s">
        <v>151</v>
      </c>
      <c r="D19" s="82">
        <v>0.04</v>
      </c>
      <c r="E19" s="81" t="s">
        <v>105</v>
      </c>
      <c r="F19" s="82">
        <v>1</v>
      </c>
      <c r="G19" s="85" t="s">
        <v>91</v>
      </c>
      <c r="H19" s="84">
        <v>43102</v>
      </c>
      <c r="I19" s="84">
        <v>43462</v>
      </c>
      <c r="J19" s="82">
        <v>0.1</v>
      </c>
      <c r="K19" s="82">
        <v>0.3</v>
      </c>
      <c r="L19" s="82">
        <v>0.7</v>
      </c>
      <c r="M19" s="82">
        <v>1</v>
      </c>
      <c r="N19" s="121">
        <v>1</v>
      </c>
      <c r="O19" s="121">
        <v>1</v>
      </c>
      <c r="P19" s="121">
        <v>1</v>
      </c>
      <c r="Q19" s="269">
        <v>1</v>
      </c>
      <c r="R19" s="121">
        <v>1</v>
      </c>
      <c r="S19" s="121">
        <v>1</v>
      </c>
      <c r="T19" s="122">
        <v>1</v>
      </c>
      <c r="U19" s="121">
        <v>1</v>
      </c>
      <c r="V19" s="122">
        <v>0.5</v>
      </c>
      <c r="W19" s="122">
        <v>1</v>
      </c>
      <c r="X19" s="122">
        <v>1</v>
      </c>
      <c r="Y19" s="232">
        <f>+AVERAGE(N19:X19)</f>
        <v>0.95454545454545459</v>
      </c>
      <c r="Z19" s="224"/>
    </row>
    <row r="20" spans="1:26" ht="15.75">
      <c r="V20" s="239"/>
      <c r="W20" s="240"/>
      <c r="X20" s="270"/>
      <c r="Y20" s="238"/>
    </row>
    <row r="21" spans="1:26" ht="31.5">
      <c r="G21" s="230" t="s">
        <v>977</v>
      </c>
      <c r="H21" s="233"/>
      <c r="I21" s="233"/>
      <c r="J21" s="233"/>
      <c r="K21" s="233"/>
      <c r="L21" s="233"/>
      <c r="M21" s="233"/>
      <c r="N21" s="295">
        <f>+AVERAGE(N8:N19)</f>
        <v>0.98414166666666658</v>
      </c>
      <c r="O21" s="295">
        <f t="shared" ref="O21:X21" si="1">+AVERAGE(O8:O19)</f>
        <v>0.97224999999999995</v>
      </c>
      <c r="P21" s="295">
        <f t="shared" si="1"/>
        <v>0.98266184942319945</v>
      </c>
      <c r="Q21" s="295">
        <f t="shared" si="1"/>
        <v>0.9325</v>
      </c>
      <c r="R21" s="295">
        <f t="shared" si="1"/>
        <v>0.98227500000000001</v>
      </c>
      <c r="S21" s="295">
        <f t="shared" si="1"/>
        <v>0.94727272727272727</v>
      </c>
      <c r="T21" s="295">
        <f t="shared" si="1"/>
        <v>0.90583333333333338</v>
      </c>
      <c r="U21" s="295">
        <f t="shared" si="1"/>
        <v>1</v>
      </c>
      <c r="V21" s="295">
        <f t="shared" si="1"/>
        <v>0.64</v>
      </c>
      <c r="W21" s="295">
        <f t="shared" si="1"/>
        <v>0.9916666666666667</v>
      </c>
      <c r="X21" s="295">
        <f t="shared" si="1"/>
        <v>0.92272727272727273</v>
      </c>
      <c r="Y21" s="281">
        <f>AVERAGE(Y8:Y19)</f>
        <v>0.93329417486338839</v>
      </c>
    </row>
    <row r="22" spans="1:26" ht="31.5">
      <c r="G22" s="230" t="s">
        <v>980</v>
      </c>
      <c r="H22" s="233"/>
      <c r="I22" s="233"/>
      <c r="J22" s="233"/>
      <c r="K22" s="233"/>
      <c r="L22" s="227">
        <f>+AVERAGE(L8:L19)</f>
        <v>0.73333333333333339</v>
      </c>
      <c r="M22" s="227">
        <f>AVERAGE(M13:M19)</f>
        <v>1</v>
      </c>
      <c r="N22" s="233"/>
      <c r="O22" s="233"/>
      <c r="P22" s="233"/>
      <c r="Q22" s="233"/>
      <c r="R22" s="233"/>
      <c r="S22" s="233"/>
      <c r="T22" s="233"/>
      <c r="U22" s="233"/>
      <c r="V22" s="233"/>
      <c r="W22" s="233"/>
      <c r="X22" s="233"/>
    </row>
  </sheetData>
  <mergeCells count="16">
    <mergeCell ref="A4:Y4"/>
    <mergeCell ref="A8:A19"/>
    <mergeCell ref="B8:B13"/>
    <mergeCell ref="B14:B19"/>
    <mergeCell ref="A5:A7"/>
    <mergeCell ref="B5:B7"/>
    <mergeCell ref="H5:I5"/>
    <mergeCell ref="J5:M5"/>
    <mergeCell ref="H6:H7"/>
    <mergeCell ref="I6:I7"/>
    <mergeCell ref="C5:C7"/>
    <mergeCell ref="D5:D7"/>
    <mergeCell ref="E5:E7"/>
    <mergeCell ref="F5:F7"/>
    <mergeCell ref="G5:G7"/>
    <mergeCell ref="N5:Y6"/>
  </mergeCells>
  <pageMargins left="0.7" right="0.7" top="0.75" bottom="0.75" header="0.3" footer="0.3"/>
  <pageSetup scale="27" orientation="portrait"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Categorías!$A$3:$A$9</xm:f>
          </x14:formula1>
          <xm:sqref>A8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8080"/>
  </sheetPr>
  <dimension ref="A1:Z16"/>
  <sheetViews>
    <sheetView zoomScale="80" zoomScaleNormal="80" workbookViewId="0">
      <selection activeCell="T16" sqref="T16"/>
    </sheetView>
  </sheetViews>
  <sheetFormatPr baseColWidth="10" defaultColWidth="10.7109375" defaultRowHeight="12.75"/>
  <cols>
    <col min="1" max="1" width="17.5703125" customWidth="1"/>
    <col min="2" max="2" width="18.28515625" customWidth="1"/>
    <col min="3" max="3" width="33" customWidth="1"/>
    <col min="4" max="4" width="14.42578125" customWidth="1"/>
    <col min="5" max="5" width="17.85546875" customWidth="1"/>
    <col min="6" max="6" width="18.28515625" customWidth="1"/>
    <col min="7" max="7" width="37.85546875" customWidth="1"/>
    <col min="8" max="9" width="17.140625" hidden="1" customWidth="1"/>
    <col min="10" max="12" width="19.7109375" hidden="1" customWidth="1"/>
    <col min="13" max="13" width="20.85546875" customWidth="1"/>
    <col min="14" max="14" width="13" customWidth="1"/>
    <col min="15" max="21" width="13.28515625" customWidth="1"/>
    <col min="22" max="23" width="12" customWidth="1"/>
    <col min="25" max="25" width="12" customWidth="1"/>
    <col min="26" max="26" width="23.28515625" customWidth="1"/>
  </cols>
  <sheetData>
    <row r="1" spans="1:26" ht="40.5" customHeight="1"/>
    <row r="2" spans="1:26" ht="12.75" customHeight="1"/>
    <row r="4" spans="1:26" ht="33.75">
      <c r="A4" s="337" t="s">
        <v>512</v>
      </c>
      <c r="B4" s="338"/>
      <c r="C4" s="338"/>
      <c r="D4" s="338"/>
      <c r="E4" s="338"/>
      <c r="F4" s="338"/>
      <c r="G4" s="338"/>
      <c r="H4" s="338"/>
      <c r="I4" s="338"/>
      <c r="J4" s="338"/>
      <c r="K4" s="338"/>
      <c r="L4" s="338"/>
      <c r="M4" s="338"/>
      <c r="N4" s="338"/>
      <c r="O4" s="338"/>
      <c r="P4" s="338"/>
      <c r="Q4" s="338"/>
      <c r="R4" s="338"/>
      <c r="S4" s="338"/>
      <c r="T4" s="338"/>
      <c r="U4" s="338"/>
      <c r="V4" s="338"/>
      <c r="W4" s="338"/>
      <c r="X4" s="338"/>
      <c r="Y4" s="338"/>
    </row>
    <row r="5" spans="1:26" ht="30" customHeight="1">
      <c r="A5" s="326" t="s">
        <v>103</v>
      </c>
      <c r="B5" s="326" t="s">
        <v>74</v>
      </c>
      <c r="C5" s="326" t="s">
        <v>65</v>
      </c>
      <c r="D5" s="326" t="s">
        <v>66</v>
      </c>
      <c r="E5" s="326" t="s">
        <v>67</v>
      </c>
      <c r="F5" s="326" t="s">
        <v>68</v>
      </c>
      <c r="G5" s="326" t="s">
        <v>69</v>
      </c>
      <c r="H5" s="328" t="s">
        <v>70</v>
      </c>
      <c r="I5" s="328"/>
      <c r="J5" s="326" t="s">
        <v>79</v>
      </c>
      <c r="K5" s="326"/>
      <c r="L5" s="326"/>
      <c r="M5" s="326"/>
      <c r="N5" s="389" t="s">
        <v>558</v>
      </c>
      <c r="O5" s="389"/>
      <c r="P5" s="389"/>
      <c r="Q5" s="389"/>
      <c r="R5" s="389"/>
      <c r="S5" s="389"/>
      <c r="T5" s="389"/>
      <c r="U5" s="389"/>
      <c r="V5" s="389"/>
      <c r="W5" s="389"/>
      <c r="X5" s="389"/>
      <c r="Y5" s="389"/>
    </row>
    <row r="6" spans="1:26" ht="30" customHeight="1">
      <c r="A6" s="326"/>
      <c r="B6" s="326"/>
      <c r="C6" s="326"/>
      <c r="D6" s="326"/>
      <c r="E6" s="326"/>
      <c r="F6" s="326"/>
      <c r="G6" s="326"/>
      <c r="H6" s="326" t="s">
        <v>71</v>
      </c>
      <c r="I6" s="326" t="s">
        <v>72</v>
      </c>
      <c r="J6" s="116" t="s">
        <v>75</v>
      </c>
      <c r="K6" s="116" t="s">
        <v>76</v>
      </c>
      <c r="L6" s="116" t="s">
        <v>77</v>
      </c>
      <c r="M6" s="116" t="s">
        <v>78</v>
      </c>
      <c r="N6" s="389"/>
      <c r="O6" s="389"/>
      <c r="P6" s="389"/>
      <c r="Q6" s="389"/>
      <c r="R6" s="389"/>
      <c r="S6" s="389"/>
      <c r="T6" s="389"/>
      <c r="U6" s="389"/>
      <c r="V6" s="389"/>
      <c r="W6" s="389"/>
      <c r="X6" s="389"/>
      <c r="Y6" s="389"/>
    </row>
    <row r="7" spans="1:26" ht="36">
      <c r="A7" s="326"/>
      <c r="B7" s="326"/>
      <c r="C7" s="326"/>
      <c r="D7" s="326"/>
      <c r="E7" s="326"/>
      <c r="F7" s="326"/>
      <c r="G7" s="326"/>
      <c r="H7" s="326"/>
      <c r="I7" s="326"/>
      <c r="J7" s="117" t="s">
        <v>64</v>
      </c>
      <c r="K7" s="117" t="s">
        <v>64</v>
      </c>
      <c r="L7" s="117" t="s">
        <v>64</v>
      </c>
      <c r="M7" s="117" t="s">
        <v>64</v>
      </c>
      <c r="N7" s="184" t="s">
        <v>198</v>
      </c>
      <c r="O7" s="184" t="s">
        <v>349</v>
      </c>
      <c r="P7" s="184" t="s">
        <v>283</v>
      </c>
      <c r="Q7" s="184" t="s">
        <v>371</v>
      </c>
      <c r="R7" s="184" t="s">
        <v>380</v>
      </c>
      <c r="S7" s="184" t="s">
        <v>391</v>
      </c>
      <c r="T7" s="184" t="s">
        <v>487</v>
      </c>
      <c r="U7" s="184" t="s">
        <v>392</v>
      </c>
      <c r="V7" s="184" t="s">
        <v>555</v>
      </c>
      <c r="W7" s="184" t="s">
        <v>397</v>
      </c>
      <c r="X7" s="184" t="s">
        <v>556</v>
      </c>
      <c r="Y7" s="184" t="s">
        <v>557</v>
      </c>
    </row>
    <row r="8" spans="1:26" ht="78.75">
      <c r="A8" s="390" t="s">
        <v>59</v>
      </c>
      <c r="B8" s="391" t="s">
        <v>99</v>
      </c>
      <c r="C8" s="9" t="s">
        <v>137</v>
      </c>
      <c r="D8" s="18">
        <v>0.15</v>
      </c>
      <c r="E8" s="16" t="s">
        <v>121</v>
      </c>
      <c r="F8" s="21">
        <v>1</v>
      </c>
      <c r="G8" s="9" t="s">
        <v>122</v>
      </c>
      <c r="H8" s="23">
        <v>43101</v>
      </c>
      <c r="I8" s="17">
        <v>43131</v>
      </c>
      <c r="J8" s="10">
        <v>1</v>
      </c>
      <c r="K8" s="10">
        <v>1</v>
      </c>
      <c r="L8" s="10">
        <v>1</v>
      </c>
      <c r="M8" s="10">
        <v>1</v>
      </c>
      <c r="N8" s="297">
        <v>0.96850000000000003</v>
      </c>
      <c r="O8" s="10">
        <v>1</v>
      </c>
      <c r="P8" s="10">
        <v>1</v>
      </c>
      <c r="Q8" s="10">
        <v>1</v>
      </c>
      <c r="R8" s="10">
        <v>1</v>
      </c>
      <c r="S8" s="10">
        <v>1</v>
      </c>
      <c r="T8" s="253">
        <v>1</v>
      </c>
      <c r="U8" s="10">
        <v>1</v>
      </c>
      <c r="V8" s="274">
        <v>1</v>
      </c>
      <c r="W8" s="253">
        <v>1</v>
      </c>
      <c r="X8" s="274">
        <v>1</v>
      </c>
      <c r="Y8" s="227">
        <f t="shared" ref="Y8:Y13" si="0">+AVERAGE(N8:X8)</f>
        <v>0.99713636363636371</v>
      </c>
      <c r="Z8" s="223"/>
    </row>
    <row r="9" spans="1:26" ht="78.75">
      <c r="A9" s="390"/>
      <c r="B9" s="391"/>
      <c r="C9" s="9" t="s">
        <v>123</v>
      </c>
      <c r="D9" s="18">
        <v>0.15</v>
      </c>
      <c r="E9" s="16" t="s">
        <v>121</v>
      </c>
      <c r="F9" s="21">
        <v>1</v>
      </c>
      <c r="G9" s="9" t="s">
        <v>131</v>
      </c>
      <c r="H9" s="23">
        <v>43101</v>
      </c>
      <c r="I9" s="17">
        <v>43220</v>
      </c>
      <c r="J9" s="10">
        <v>0.8</v>
      </c>
      <c r="K9" s="10">
        <v>1</v>
      </c>
      <c r="L9" s="10">
        <v>1</v>
      </c>
      <c r="M9" s="10">
        <v>1</v>
      </c>
      <c r="N9" s="290">
        <v>1</v>
      </c>
      <c r="O9" s="10">
        <v>1</v>
      </c>
      <c r="P9" s="10">
        <v>1</v>
      </c>
      <c r="Q9" s="10">
        <v>0.85</v>
      </c>
      <c r="R9" s="253">
        <v>1</v>
      </c>
      <c r="S9" s="10">
        <v>1</v>
      </c>
      <c r="T9" s="253">
        <v>1</v>
      </c>
      <c r="U9" s="10">
        <v>1</v>
      </c>
      <c r="V9" s="274">
        <v>1</v>
      </c>
      <c r="W9" s="253">
        <v>1</v>
      </c>
      <c r="X9" s="274">
        <v>1</v>
      </c>
      <c r="Y9" s="227">
        <f t="shared" si="0"/>
        <v>0.98636363636363633</v>
      </c>
      <c r="Z9" s="223"/>
    </row>
    <row r="10" spans="1:26" ht="78.75">
      <c r="A10" s="390"/>
      <c r="B10" s="391"/>
      <c r="C10" s="9" t="s">
        <v>191</v>
      </c>
      <c r="D10" s="18">
        <v>0.3</v>
      </c>
      <c r="E10" s="16" t="s">
        <v>121</v>
      </c>
      <c r="F10" s="21">
        <v>1</v>
      </c>
      <c r="G10" s="9" t="s">
        <v>124</v>
      </c>
      <c r="H10" s="23">
        <v>43101</v>
      </c>
      <c r="I10" s="17">
        <v>43465</v>
      </c>
      <c r="J10" s="10">
        <v>0.25</v>
      </c>
      <c r="K10" s="10">
        <v>0.5</v>
      </c>
      <c r="L10" s="10">
        <v>0.75</v>
      </c>
      <c r="M10" s="10">
        <v>1</v>
      </c>
      <c r="N10" s="290">
        <v>1</v>
      </c>
      <c r="O10" s="10">
        <v>1</v>
      </c>
      <c r="P10" s="10">
        <v>1</v>
      </c>
      <c r="Q10" s="10">
        <v>1</v>
      </c>
      <c r="R10" s="10">
        <v>1</v>
      </c>
      <c r="S10" s="10">
        <v>1</v>
      </c>
      <c r="T10" s="253">
        <v>1</v>
      </c>
      <c r="U10" s="10">
        <v>1</v>
      </c>
      <c r="V10" s="274">
        <v>1</v>
      </c>
      <c r="W10" s="253">
        <v>1</v>
      </c>
      <c r="X10" s="274">
        <v>1</v>
      </c>
      <c r="Y10" s="227">
        <f t="shared" si="0"/>
        <v>1</v>
      </c>
      <c r="Z10" s="223"/>
    </row>
    <row r="11" spans="1:26" ht="73.5" customHeight="1">
      <c r="A11" s="390"/>
      <c r="B11" s="391"/>
      <c r="C11" s="9" t="s">
        <v>125</v>
      </c>
      <c r="D11" s="18">
        <v>0.15</v>
      </c>
      <c r="E11" s="16" t="s">
        <v>121</v>
      </c>
      <c r="F11" s="21">
        <v>1</v>
      </c>
      <c r="G11" s="9" t="s">
        <v>126</v>
      </c>
      <c r="H11" s="23">
        <v>43101</v>
      </c>
      <c r="I11" s="17">
        <v>43465</v>
      </c>
      <c r="J11" s="10">
        <v>0.33300000000000002</v>
      </c>
      <c r="K11" s="10">
        <v>0.33300000000000002</v>
      </c>
      <c r="L11" s="10">
        <v>0.66300000000000003</v>
      </c>
      <c r="M11" s="10">
        <v>1</v>
      </c>
      <c r="N11" s="290">
        <v>1</v>
      </c>
      <c r="O11" s="10">
        <v>1</v>
      </c>
      <c r="P11" s="10">
        <v>1</v>
      </c>
      <c r="Q11" s="10">
        <v>1</v>
      </c>
      <c r="R11" s="10">
        <v>1</v>
      </c>
      <c r="S11" s="10">
        <v>1</v>
      </c>
      <c r="T11" s="253">
        <v>1</v>
      </c>
      <c r="U11" s="10">
        <v>1</v>
      </c>
      <c r="V11" s="274">
        <v>0</v>
      </c>
      <c r="W11" s="253">
        <v>1</v>
      </c>
      <c r="X11" s="274">
        <v>1</v>
      </c>
      <c r="Y11" s="227">
        <f t="shared" si="0"/>
        <v>0.90909090909090906</v>
      </c>
      <c r="Z11" s="223"/>
    </row>
    <row r="12" spans="1:26" ht="47.25">
      <c r="A12" s="390"/>
      <c r="B12" s="391"/>
      <c r="C12" s="9" t="s">
        <v>127</v>
      </c>
      <c r="D12" s="18">
        <v>0.15</v>
      </c>
      <c r="E12" s="16" t="s">
        <v>121</v>
      </c>
      <c r="F12" s="21">
        <v>1</v>
      </c>
      <c r="G12" s="9" t="s">
        <v>128</v>
      </c>
      <c r="H12" s="23">
        <v>43101</v>
      </c>
      <c r="I12" s="17">
        <v>43465</v>
      </c>
      <c r="J12" s="10">
        <v>1</v>
      </c>
      <c r="K12" s="10">
        <v>1</v>
      </c>
      <c r="L12" s="10">
        <v>1</v>
      </c>
      <c r="M12" s="10">
        <v>1</v>
      </c>
      <c r="N12" s="290">
        <v>1</v>
      </c>
      <c r="O12" s="273">
        <v>1</v>
      </c>
      <c r="P12" s="273">
        <v>1</v>
      </c>
      <c r="Q12" s="10">
        <v>1</v>
      </c>
      <c r="R12" s="10">
        <v>1</v>
      </c>
      <c r="S12" s="10">
        <v>1</v>
      </c>
      <c r="T12" s="253">
        <v>1</v>
      </c>
      <c r="U12" s="10">
        <v>1</v>
      </c>
      <c r="V12" s="274">
        <v>1</v>
      </c>
      <c r="W12" s="253">
        <v>1</v>
      </c>
      <c r="X12" s="274">
        <v>1</v>
      </c>
      <c r="Y12" s="227">
        <f t="shared" si="0"/>
        <v>1</v>
      </c>
      <c r="Z12" s="223"/>
    </row>
    <row r="13" spans="1:26" ht="47.25">
      <c r="A13" s="390"/>
      <c r="B13" s="391"/>
      <c r="C13" s="9" t="s">
        <v>129</v>
      </c>
      <c r="D13" s="18">
        <v>0.1</v>
      </c>
      <c r="E13" s="16" t="s">
        <v>121</v>
      </c>
      <c r="F13" s="21">
        <v>1</v>
      </c>
      <c r="G13" s="9" t="s">
        <v>130</v>
      </c>
      <c r="H13" s="23">
        <v>43101</v>
      </c>
      <c r="I13" s="17">
        <v>43465</v>
      </c>
      <c r="J13" s="10">
        <v>0</v>
      </c>
      <c r="K13" s="10">
        <v>0.5</v>
      </c>
      <c r="L13" s="10">
        <v>0.5</v>
      </c>
      <c r="M13" s="10">
        <v>1</v>
      </c>
      <c r="N13" s="290">
        <v>1</v>
      </c>
      <c r="O13" s="10">
        <v>1</v>
      </c>
      <c r="P13" s="10">
        <v>1</v>
      </c>
      <c r="Q13" s="253">
        <v>0.75</v>
      </c>
      <c r="R13" s="10">
        <v>0.98</v>
      </c>
      <c r="S13" s="10">
        <v>1</v>
      </c>
      <c r="T13" s="253">
        <v>1</v>
      </c>
      <c r="U13" s="10">
        <v>1</v>
      </c>
      <c r="V13" s="274">
        <v>1</v>
      </c>
      <c r="W13" s="253">
        <v>1</v>
      </c>
      <c r="X13" s="274">
        <v>1</v>
      </c>
      <c r="Y13" s="227">
        <f t="shared" si="0"/>
        <v>0.97545454545454546</v>
      </c>
      <c r="Z13" s="223"/>
    </row>
    <row r="15" spans="1:26" ht="31.5">
      <c r="G15" s="230" t="s">
        <v>977</v>
      </c>
      <c r="H15" s="233"/>
      <c r="I15" s="233"/>
      <c r="J15" s="233"/>
      <c r="K15" s="233"/>
      <c r="L15" s="233"/>
      <c r="M15" s="233"/>
      <c r="N15" s="295">
        <f>+AVERAGE(N8:N13)</f>
        <v>0.99475000000000013</v>
      </c>
      <c r="O15" s="295">
        <f t="shared" ref="O15:X15" si="1">+AVERAGE(O8:O13)</f>
        <v>1</v>
      </c>
      <c r="P15" s="295">
        <f t="shared" si="1"/>
        <v>1</v>
      </c>
      <c r="Q15" s="295">
        <f t="shared" si="1"/>
        <v>0.93333333333333324</v>
      </c>
      <c r="R15" s="295">
        <f t="shared" si="1"/>
        <v>0.9966666666666667</v>
      </c>
      <c r="S15" s="295">
        <f t="shared" si="1"/>
        <v>1</v>
      </c>
      <c r="T15" s="295">
        <f t="shared" si="1"/>
        <v>1</v>
      </c>
      <c r="U15" s="295">
        <f t="shared" si="1"/>
        <v>1</v>
      </c>
      <c r="V15" s="295">
        <f t="shared" si="1"/>
        <v>0.83333333333333337</v>
      </c>
      <c r="W15" s="295">
        <f t="shared" si="1"/>
        <v>1</v>
      </c>
      <c r="X15" s="295">
        <f t="shared" si="1"/>
        <v>1</v>
      </c>
      <c r="Y15" s="281">
        <f>AVERAGE(Y8:Y13)</f>
        <v>0.9780075757575758</v>
      </c>
    </row>
    <row r="16" spans="1:26" ht="31.5">
      <c r="G16" s="230" t="s">
        <v>981</v>
      </c>
      <c r="H16" s="233"/>
      <c r="I16" s="233"/>
      <c r="J16" s="233"/>
      <c r="K16" s="233"/>
      <c r="L16" s="227">
        <f>+AVERAGE(L8:L13)</f>
        <v>0.81883333333333341</v>
      </c>
      <c r="M16" s="227">
        <f>+AVERAGE(M8:M13)</f>
        <v>1</v>
      </c>
      <c r="N16" s="233"/>
      <c r="O16" s="233"/>
      <c r="P16" s="233"/>
      <c r="Q16" s="233"/>
      <c r="R16" s="233"/>
      <c r="S16" s="233"/>
      <c r="T16" s="233"/>
      <c r="U16" s="233"/>
      <c r="V16" s="233"/>
      <c r="W16" s="233"/>
      <c r="X16" s="233"/>
    </row>
  </sheetData>
  <mergeCells count="15">
    <mergeCell ref="N5:Y6"/>
    <mergeCell ref="A4:Y4"/>
    <mergeCell ref="J5:M5"/>
    <mergeCell ref="A8:A13"/>
    <mergeCell ref="B8:B13"/>
    <mergeCell ref="H6:H7"/>
    <mergeCell ref="I6:I7"/>
    <mergeCell ref="A5:A7"/>
    <mergeCell ref="B5:B7"/>
    <mergeCell ref="C5:C7"/>
    <mergeCell ref="D5:D7"/>
    <mergeCell ref="E5:E7"/>
    <mergeCell ref="F5:F7"/>
    <mergeCell ref="G5:G7"/>
    <mergeCell ref="H5:I5"/>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Categorías!$A$3:$A$9</xm:f>
          </x14:formula1>
          <xm:sqref>A8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8080"/>
  </sheetPr>
  <dimension ref="A1:Z20"/>
  <sheetViews>
    <sheetView zoomScale="60" zoomScaleNormal="60" workbookViewId="0">
      <selection activeCell="P14" sqref="P14"/>
    </sheetView>
  </sheetViews>
  <sheetFormatPr baseColWidth="10" defaultColWidth="10.7109375" defaultRowHeight="12.75"/>
  <cols>
    <col min="1" max="1" width="24.7109375" customWidth="1"/>
    <col min="2" max="2" width="23.7109375" customWidth="1"/>
    <col min="3" max="3" width="24" customWidth="1"/>
    <col min="4" max="4" width="15.5703125" customWidth="1"/>
    <col min="5" max="5" width="14" customWidth="1"/>
    <col min="7" max="7" width="42.140625" customWidth="1"/>
    <col min="8" max="9" width="15.7109375" hidden="1" customWidth="1"/>
    <col min="10" max="12" width="17.5703125" hidden="1" customWidth="1"/>
    <col min="13" max="13" width="23.5703125" customWidth="1"/>
    <col min="14" max="14" width="16.140625" customWidth="1"/>
    <col min="15" max="15" width="16.42578125" customWidth="1"/>
    <col min="16" max="16" width="15.28515625" customWidth="1"/>
    <col min="17" max="17" width="14.7109375" customWidth="1"/>
    <col min="18" max="18" width="13.7109375" customWidth="1"/>
    <col min="19" max="19" width="15.140625" customWidth="1"/>
    <col min="20" max="20" width="13.140625" customWidth="1"/>
    <col min="21" max="21" width="15" customWidth="1"/>
    <col min="22" max="22" width="11.85546875" customWidth="1"/>
    <col min="23" max="23" width="16" customWidth="1"/>
    <col min="24" max="24" width="13.140625" customWidth="1"/>
    <col min="25" max="25" width="14.140625" customWidth="1"/>
    <col min="26" max="26" width="28.42578125" customWidth="1"/>
  </cols>
  <sheetData>
    <row r="1" spans="1:26" ht="24" customHeight="1"/>
    <row r="2" spans="1:26" ht="24" customHeight="1"/>
    <row r="4" spans="1:26" ht="33.75">
      <c r="A4" s="337" t="s">
        <v>512</v>
      </c>
      <c r="B4" s="338"/>
      <c r="C4" s="338"/>
      <c r="D4" s="338"/>
      <c r="E4" s="338"/>
      <c r="F4" s="338"/>
      <c r="G4" s="338"/>
      <c r="H4" s="338"/>
      <c r="I4" s="338"/>
      <c r="J4" s="338"/>
      <c r="K4" s="338"/>
      <c r="L4" s="338"/>
      <c r="M4" s="338"/>
      <c r="N4" s="338"/>
      <c r="O4" s="338"/>
      <c r="P4" s="338"/>
      <c r="Q4" s="338"/>
      <c r="R4" s="338"/>
      <c r="S4" s="338"/>
      <c r="T4" s="338"/>
      <c r="U4" s="338"/>
      <c r="V4" s="338"/>
      <c r="W4" s="338"/>
      <c r="X4" s="338"/>
      <c r="Y4" s="338"/>
    </row>
    <row r="5" spans="1:26" ht="36.75" customHeight="1">
      <c r="A5" s="339" t="s">
        <v>103</v>
      </c>
      <c r="B5" s="339" t="s">
        <v>74</v>
      </c>
      <c r="C5" s="339" t="s">
        <v>65</v>
      </c>
      <c r="D5" s="339" t="s">
        <v>66</v>
      </c>
      <c r="E5" s="339" t="s">
        <v>67</v>
      </c>
      <c r="F5" s="339" t="s">
        <v>68</v>
      </c>
      <c r="G5" s="339" t="s">
        <v>69</v>
      </c>
      <c r="H5" s="341" t="s">
        <v>70</v>
      </c>
      <c r="I5" s="341"/>
      <c r="J5" s="339" t="s">
        <v>79</v>
      </c>
      <c r="K5" s="339"/>
      <c r="L5" s="339"/>
      <c r="M5" s="339"/>
      <c r="N5" s="317" t="s">
        <v>558</v>
      </c>
      <c r="O5" s="317"/>
      <c r="P5" s="317"/>
      <c r="Q5" s="317"/>
      <c r="R5" s="317"/>
      <c r="S5" s="317"/>
      <c r="T5" s="317"/>
      <c r="U5" s="317"/>
      <c r="V5" s="317"/>
      <c r="W5" s="317"/>
      <c r="X5" s="317"/>
      <c r="Y5" s="317"/>
    </row>
    <row r="6" spans="1:26" ht="30" customHeight="1">
      <c r="A6" s="339"/>
      <c r="B6" s="339"/>
      <c r="C6" s="339"/>
      <c r="D6" s="339"/>
      <c r="E6" s="339"/>
      <c r="F6" s="339"/>
      <c r="G6" s="339"/>
      <c r="H6" s="332" t="s">
        <v>71</v>
      </c>
      <c r="I6" s="332" t="s">
        <v>72</v>
      </c>
      <c r="J6" s="15" t="s">
        <v>75</v>
      </c>
      <c r="K6" s="15" t="s">
        <v>76</v>
      </c>
      <c r="L6" s="15" t="s">
        <v>77</v>
      </c>
      <c r="M6" s="15" t="s">
        <v>78</v>
      </c>
      <c r="N6" s="317"/>
      <c r="O6" s="317"/>
      <c r="P6" s="317"/>
      <c r="Q6" s="317"/>
      <c r="R6" s="317"/>
      <c r="S6" s="317"/>
      <c r="T6" s="317"/>
      <c r="U6" s="317"/>
      <c r="V6" s="317"/>
      <c r="W6" s="317"/>
      <c r="X6" s="317"/>
      <c r="Y6" s="317"/>
    </row>
    <row r="7" spans="1:26" ht="54.75" customHeight="1">
      <c r="A7" s="339"/>
      <c r="B7" s="339"/>
      <c r="C7" s="339"/>
      <c r="D7" s="339"/>
      <c r="E7" s="339"/>
      <c r="F7" s="339"/>
      <c r="G7" s="339"/>
      <c r="H7" s="332"/>
      <c r="I7" s="332"/>
      <c r="J7" s="55" t="s">
        <v>64</v>
      </c>
      <c r="K7" s="55" t="s">
        <v>64</v>
      </c>
      <c r="L7" s="55" t="s">
        <v>64</v>
      </c>
      <c r="M7" s="55" t="s">
        <v>64</v>
      </c>
      <c r="N7" s="184" t="s">
        <v>198</v>
      </c>
      <c r="O7" s="184" t="s">
        <v>349</v>
      </c>
      <c r="P7" s="184" t="s">
        <v>283</v>
      </c>
      <c r="Q7" s="184" t="s">
        <v>371</v>
      </c>
      <c r="R7" s="184" t="s">
        <v>380</v>
      </c>
      <c r="S7" s="184" t="s">
        <v>391</v>
      </c>
      <c r="T7" s="184" t="s">
        <v>487</v>
      </c>
      <c r="U7" s="184" t="s">
        <v>392</v>
      </c>
      <c r="V7" s="184" t="s">
        <v>555</v>
      </c>
      <c r="W7" s="184" t="s">
        <v>397</v>
      </c>
      <c r="X7" s="184" t="s">
        <v>556</v>
      </c>
      <c r="Y7" s="184" t="s">
        <v>557</v>
      </c>
    </row>
    <row r="8" spans="1:26" ht="84.75" customHeight="1">
      <c r="A8" s="319" t="s">
        <v>61</v>
      </c>
      <c r="B8" s="318" t="s">
        <v>92</v>
      </c>
      <c r="C8" s="88" t="s">
        <v>194</v>
      </c>
      <c r="D8" s="18">
        <v>0.1</v>
      </c>
      <c r="E8" s="18" t="s">
        <v>159</v>
      </c>
      <c r="F8" s="16">
        <v>1</v>
      </c>
      <c r="G8" s="394" t="s">
        <v>192</v>
      </c>
      <c r="H8" s="23">
        <v>43101</v>
      </c>
      <c r="I8" s="17">
        <v>43190</v>
      </c>
      <c r="J8" s="24">
        <v>1</v>
      </c>
      <c r="K8" s="24">
        <v>1</v>
      </c>
      <c r="L8" s="24">
        <v>1</v>
      </c>
      <c r="M8" s="24">
        <v>1</v>
      </c>
      <c r="N8" s="298">
        <v>1</v>
      </c>
      <c r="O8" s="10">
        <v>1</v>
      </c>
      <c r="P8" s="10">
        <v>1</v>
      </c>
      <c r="Q8" s="275">
        <v>1</v>
      </c>
      <c r="R8" s="275">
        <v>1</v>
      </c>
      <c r="S8" s="10">
        <v>1</v>
      </c>
      <c r="T8" s="253">
        <v>1</v>
      </c>
      <c r="U8" s="271">
        <v>1</v>
      </c>
      <c r="V8" s="283">
        <v>1</v>
      </c>
      <c r="W8" s="253">
        <v>1</v>
      </c>
      <c r="X8" s="253">
        <v>1</v>
      </c>
      <c r="Y8" s="234">
        <f>+AVERAGE(N8:X8)</f>
        <v>1</v>
      </c>
      <c r="Z8" s="223"/>
    </row>
    <row r="9" spans="1:26" ht="77.25" customHeight="1">
      <c r="A9" s="319"/>
      <c r="B9" s="318"/>
      <c r="C9" s="88" t="s">
        <v>195</v>
      </c>
      <c r="D9" s="18">
        <v>0.1</v>
      </c>
      <c r="E9" s="16" t="s">
        <v>105</v>
      </c>
      <c r="F9" s="21">
        <v>1</v>
      </c>
      <c r="G9" s="394"/>
      <c r="H9" s="23">
        <v>43191</v>
      </c>
      <c r="I9" s="17">
        <v>43465</v>
      </c>
      <c r="J9" s="12">
        <v>0</v>
      </c>
      <c r="K9" s="24">
        <v>0.3</v>
      </c>
      <c r="L9" s="24">
        <v>0.4</v>
      </c>
      <c r="M9" s="24">
        <v>1</v>
      </c>
      <c r="N9" s="298">
        <v>1</v>
      </c>
      <c r="O9" s="10">
        <v>0.4</v>
      </c>
      <c r="P9" s="10">
        <v>1</v>
      </c>
      <c r="Q9" s="275">
        <v>1</v>
      </c>
      <c r="R9" s="10">
        <v>1</v>
      </c>
      <c r="S9" s="10">
        <v>1</v>
      </c>
      <c r="T9" s="253">
        <v>0.5</v>
      </c>
      <c r="U9" s="24">
        <v>0.4</v>
      </c>
      <c r="V9" s="283">
        <v>1</v>
      </c>
      <c r="W9" s="253">
        <v>0.4</v>
      </c>
      <c r="X9" s="253">
        <v>1</v>
      </c>
      <c r="Y9" s="234">
        <f t="shared" ref="Y9:Y17" si="0">+AVERAGE(N9:X9)</f>
        <v>0.79090909090909101</v>
      </c>
      <c r="Z9" s="223"/>
    </row>
    <row r="10" spans="1:26" ht="89.25" customHeight="1">
      <c r="A10" s="319"/>
      <c r="B10" s="318"/>
      <c r="C10" s="21" t="s">
        <v>154</v>
      </c>
      <c r="D10" s="18">
        <v>0.08</v>
      </c>
      <c r="E10" s="18" t="s">
        <v>159</v>
      </c>
      <c r="F10" s="16">
        <v>4</v>
      </c>
      <c r="G10" s="8" t="s">
        <v>155</v>
      </c>
      <c r="H10" s="23">
        <v>43101</v>
      </c>
      <c r="I10" s="17">
        <v>43465</v>
      </c>
      <c r="J10" s="24">
        <v>1</v>
      </c>
      <c r="K10" s="24">
        <v>1</v>
      </c>
      <c r="L10" s="24">
        <v>1</v>
      </c>
      <c r="M10" s="24">
        <v>1</v>
      </c>
      <c r="N10" s="298">
        <v>1</v>
      </c>
      <c r="O10" s="10">
        <v>1</v>
      </c>
      <c r="P10" s="10">
        <v>0.5</v>
      </c>
      <c r="Q10" s="119">
        <v>1</v>
      </c>
      <c r="R10" s="119">
        <v>1</v>
      </c>
      <c r="S10" s="10">
        <v>1</v>
      </c>
      <c r="T10" s="253">
        <v>1</v>
      </c>
      <c r="U10" s="271">
        <v>1</v>
      </c>
      <c r="V10" s="283">
        <v>0</v>
      </c>
      <c r="W10" s="253">
        <v>1</v>
      </c>
      <c r="X10" s="253">
        <v>1</v>
      </c>
      <c r="Y10" s="234">
        <f t="shared" si="0"/>
        <v>0.86363636363636365</v>
      </c>
      <c r="Z10" s="225"/>
    </row>
    <row r="11" spans="1:26" ht="96" customHeight="1">
      <c r="A11" s="319"/>
      <c r="B11" s="318"/>
      <c r="C11" s="21" t="s">
        <v>156</v>
      </c>
      <c r="D11" s="18">
        <v>0.2</v>
      </c>
      <c r="E11" s="16" t="s">
        <v>105</v>
      </c>
      <c r="F11" s="21">
        <v>1</v>
      </c>
      <c r="G11" s="19" t="s">
        <v>157</v>
      </c>
      <c r="H11" s="23">
        <v>43101</v>
      </c>
      <c r="I11" s="17">
        <v>43465</v>
      </c>
      <c r="J11" s="24">
        <v>1</v>
      </c>
      <c r="K11" s="24">
        <v>1</v>
      </c>
      <c r="L11" s="24">
        <v>1</v>
      </c>
      <c r="M11" s="24">
        <v>1</v>
      </c>
      <c r="N11" s="299">
        <v>1</v>
      </c>
      <c r="O11" s="10">
        <v>1</v>
      </c>
      <c r="P11" s="10">
        <v>1</v>
      </c>
      <c r="Q11" s="119">
        <v>1</v>
      </c>
      <c r="R11" s="119">
        <v>1</v>
      </c>
      <c r="S11" s="10">
        <v>1</v>
      </c>
      <c r="T11" s="120">
        <v>0.95</v>
      </c>
      <c r="U11" s="119">
        <v>1</v>
      </c>
      <c r="V11" s="120">
        <v>0.8</v>
      </c>
      <c r="W11" s="120">
        <v>1</v>
      </c>
      <c r="X11" s="120">
        <v>1</v>
      </c>
      <c r="Y11" s="234">
        <f t="shared" si="0"/>
        <v>0.97727272727272729</v>
      </c>
      <c r="Z11" s="223"/>
    </row>
    <row r="12" spans="1:26" ht="63" customHeight="1">
      <c r="A12" s="319"/>
      <c r="B12" s="318"/>
      <c r="C12" s="21" t="s">
        <v>158</v>
      </c>
      <c r="D12" s="18">
        <v>0.1</v>
      </c>
      <c r="E12" s="18" t="s">
        <v>159</v>
      </c>
      <c r="F12" s="16">
        <v>1</v>
      </c>
      <c r="G12" s="19" t="s">
        <v>93</v>
      </c>
      <c r="H12" s="23">
        <v>43101</v>
      </c>
      <c r="I12" s="17">
        <v>43465</v>
      </c>
      <c r="J12" s="24">
        <v>1</v>
      </c>
      <c r="K12" s="24">
        <v>1</v>
      </c>
      <c r="L12" s="24">
        <v>1</v>
      </c>
      <c r="M12" s="24">
        <v>1</v>
      </c>
      <c r="N12" s="298">
        <v>1</v>
      </c>
      <c r="O12" s="10">
        <v>1</v>
      </c>
      <c r="P12" s="10">
        <v>1</v>
      </c>
      <c r="Q12" s="119">
        <v>1</v>
      </c>
      <c r="R12" s="119">
        <v>1</v>
      </c>
      <c r="S12" s="308">
        <v>0.25</v>
      </c>
      <c r="T12" s="276">
        <v>1</v>
      </c>
      <c r="U12" s="255">
        <v>0</v>
      </c>
      <c r="V12" s="276">
        <v>0</v>
      </c>
      <c r="W12" s="276">
        <v>1</v>
      </c>
      <c r="X12" s="276">
        <v>1</v>
      </c>
      <c r="Y12" s="234">
        <f t="shared" si="0"/>
        <v>0.75</v>
      </c>
      <c r="Z12" s="223"/>
    </row>
    <row r="13" spans="1:26" ht="59.25" customHeight="1">
      <c r="A13" s="319"/>
      <c r="B13" s="318"/>
      <c r="C13" s="21" t="s">
        <v>152</v>
      </c>
      <c r="D13" s="18">
        <v>0.06</v>
      </c>
      <c r="E13" s="18" t="s">
        <v>159</v>
      </c>
      <c r="F13" s="16">
        <v>1</v>
      </c>
      <c r="G13" s="392" t="s">
        <v>94</v>
      </c>
      <c r="H13" s="23">
        <v>43101</v>
      </c>
      <c r="I13" s="17">
        <v>43190</v>
      </c>
      <c r="J13" s="24">
        <v>1</v>
      </c>
      <c r="K13" s="24">
        <v>1</v>
      </c>
      <c r="L13" s="24">
        <v>1</v>
      </c>
      <c r="M13" s="24">
        <v>1</v>
      </c>
      <c r="N13" s="298">
        <v>1</v>
      </c>
      <c r="O13" s="10">
        <v>1</v>
      </c>
      <c r="P13" s="10">
        <v>1</v>
      </c>
      <c r="Q13" s="119">
        <v>1</v>
      </c>
      <c r="R13" s="119">
        <v>1</v>
      </c>
      <c r="S13" s="24">
        <v>1</v>
      </c>
      <c r="T13" s="120">
        <v>1</v>
      </c>
      <c r="U13" s="120">
        <v>1</v>
      </c>
      <c r="V13" s="120">
        <v>1</v>
      </c>
      <c r="W13" s="120">
        <v>1</v>
      </c>
      <c r="X13" s="120">
        <v>1</v>
      </c>
      <c r="Y13" s="234">
        <f t="shared" si="0"/>
        <v>1</v>
      </c>
      <c r="Z13" s="222"/>
    </row>
    <row r="14" spans="1:26" ht="45.75" customHeight="1">
      <c r="A14" s="319"/>
      <c r="B14" s="318"/>
      <c r="C14" s="21" t="s">
        <v>153</v>
      </c>
      <c r="D14" s="18">
        <v>0.06</v>
      </c>
      <c r="E14" s="16" t="s">
        <v>105</v>
      </c>
      <c r="F14" s="21">
        <v>1</v>
      </c>
      <c r="G14" s="392"/>
      <c r="H14" s="23">
        <v>43191</v>
      </c>
      <c r="I14" s="17">
        <v>43465</v>
      </c>
      <c r="J14" s="12">
        <v>0</v>
      </c>
      <c r="K14" s="24">
        <v>0.3</v>
      </c>
      <c r="L14" s="24">
        <v>0.4</v>
      </c>
      <c r="M14" s="24">
        <v>1</v>
      </c>
      <c r="N14" s="298">
        <v>0.4</v>
      </c>
      <c r="O14" s="10">
        <v>0.4</v>
      </c>
      <c r="P14" s="10" t="s">
        <v>1053</v>
      </c>
      <c r="Q14" s="10">
        <v>1</v>
      </c>
      <c r="R14" s="10">
        <v>1</v>
      </c>
      <c r="S14" s="24">
        <v>0.87</v>
      </c>
      <c r="T14" s="253">
        <v>0.8</v>
      </c>
      <c r="U14" s="10">
        <v>0.4</v>
      </c>
      <c r="V14" s="283">
        <v>0.9</v>
      </c>
      <c r="W14" s="253">
        <v>0.4</v>
      </c>
      <c r="X14" s="253">
        <v>1</v>
      </c>
      <c r="Y14" s="234">
        <f t="shared" si="0"/>
        <v>0.71700000000000008</v>
      </c>
      <c r="Z14" s="222"/>
    </row>
    <row r="15" spans="1:26" ht="63" customHeight="1">
      <c r="A15" s="319"/>
      <c r="B15" s="318"/>
      <c r="C15" s="21" t="s">
        <v>992</v>
      </c>
      <c r="D15" s="18">
        <v>0.1</v>
      </c>
      <c r="E15" s="16" t="s">
        <v>105</v>
      </c>
      <c r="F15" s="21">
        <v>1</v>
      </c>
      <c r="G15" s="19" t="s">
        <v>95</v>
      </c>
      <c r="H15" s="23">
        <v>43101</v>
      </c>
      <c r="I15" s="17">
        <v>43465</v>
      </c>
      <c r="J15" s="24">
        <v>1</v>
      </c>
      <c r="K15" s="24">
        <v>1</v>
      </c>
      <c r="L15" s="24">
        <v>1</v>
      </c>
      <c r="M15" s="24">
        <v>1</v>
      </c>
      <c r="N15" s="299">
        <v>0.96</v>
      </c>
      <c r="O15" s="10">
        <v>1</v>
      </c>
      <c r="P15" s="10">
        <v>1</v>
      </c>
      <c r="Q15" s="119">
        <v>1</v>
      </c>
      <c r="R15" s="119">
        <v>1</v>
      </c>
      <c r="S15" s="119">
        <v>1</v>
      </c>
      <c r="T15" s="120">
        <v>1</v>
      </c>
      <c r="U15" s="119">
        <v>1</v>
      </c>
      <c r="V15" s="120">
        <v>1</v>
      </c>
      <c r="W15" s="120">
        <v>1</v>
      </c>
      <c r="X15" s="120">
        <v>1</v>
      </c>
      <c r="Y15" s="234">
        <f t="shared" si="0"/>
        <v>0.99636363636363645</v>
      </c>
      <c r="Z15" s="222"/>
    </row>
    <row r="16" spans="1:26" ht="77.25" customHeight="1">
      <c r="A16" s="319"/>
      <c r="B16" s="393" t="s">
        <v>97</v>
      </c>
      <c r="C16" s="21" t="s">
        <v>152</v>
      </c>
      <c r="D16" s="18">
        <v>0.1</v>
      </c>
      <c r="E16" s="18" t="s">
        <v>159</v>
      </c>
      <c r="F16" s="16">
        <v>1</v>
      </c>
      <c r="G16" s="392" t="s">
        <v>96</v>
      </c>
      <c r="H16" s="23">
        <v>43101</v>
      </c>
      <c r="I16" s="17">
        <v>43190</v>
      </c>
      <c r="J16" s="24">
        <v>1</v>
      </c>
      <c r="K16" s="24">
        <v>1</v>
      </c>
      <c r="L16" s="24">
        <v>1</v>
      </c>
      <c r="M16" s="24">
        <v>1</v>
      </c>
      <c r="N16" s="299">
        <v>1</v>
      </c>
      <c r="O16" s="10">
        <v>1</v>
      </c>
      <c r="P16" s="10">
        <v>1</v>
      </c>
      <c r="Q16" s="119">
        <v>1</v>
      </c>
      <c r="R16" s="253">
        <v>1</v>
      </c>
      <c r="S16" s="119">
        <v>1</v>
      </c>
      <c r="T16" s="253">
        <v>1</v>
      </c>
      <c r="U16" s="271">
        <v>1</v>
      </c>
      <c r="V16" s="283">
        <v>0</v>
      </c>
      <c r="W16" s="253">
        <v>1</v>
      </c>
      <c r="X16" s="253">
        <v>1</v>
      </c>
      <c r="Y16" s="234">
        <f t="shared" si="0"/>
        <v>0.90909090909090906</v>
      </c>
      <c r="Z16" s="222"/>
    </row>
    <row r="17" spans="1:26" ht="70.5" customHeight="1">
      <c r="A17" s="319"/>
      <c r="B17" s="393"/>
      <c r="C17" s="21" t="s">
        <v>153</v>
      </c>
      <c r="D17" s="18">
        <v>0.1</v>
      </c>
      <c r="E17" s="16" t="s">
        <v>105</v>
      </c>
      <c r="F17" s="21">
        <v>1</v>
      </c>
      <c r="G17" s="392"/>
      <c r="H17" s="23">
        <v>43191</v>
      </c>
      <c r="I17" s="17">
        <v>43465</v>
      </c>
      <c r="J17" s="12">
        <v>0</v>
      </c>
      <c r="K17" s="24">
        <v>0.3</v>
      </c>
      <c r="L17" s="24">
        <v>0.4</v>
      </c>
      <c r="M17" s="24">
        <v>1</v>
      </c>
      <c r="N17" s="299">
        <v>1</v>
      </c>
      <c r="O17" s="10">
        <v>0.76</v>
      </c>
      <c r="P17" s="10">
        <v>1</v>
      </c>
      <c r="Q17" s="10">
        <v>1</v>
      </c>
      <c r="R17" s="10">
        <v>1</v>
      </c>
      <c r="S17" s="119">
        <v>1</v>
      </c>
      <c r="T17" s="253">
        <v>1</v>
      </c>
      <c r="U17" s="10">
        <v>1</v>
      </c>
      <c r="V17" s="283">
        <v>0.6</v>
      </c>
      <c r="W17" s="253">
        <v>1</v>
      </c>
      <c r="X17" s="253">
        <v>1</v>
      </c>
      <c r="Y17" s="234">
        <f t="shared" si="0"/>
        <v>0.94181818181818178</v>
      </c>
      <c r="Z17" s="222"/>
    </row>
    <row r="18" spans="1:26">
      <c r="Q18" s="13"/>
    </row>
    <row r="19" spans="1:26" ht="31.5">
      <c r="G19" s="230" t="s">
        <v>977</v>
      </c>
      <c r="H19" s="233"/>
      <c r="I19" s="233"/>
      <c r="J19" s="233"/>
      <c r="K19" s="233"/>
      <c r="L19" s="233"/>
      <c r="M19" s="233"/>
      <c r="N19" s="295">
        <f>+AVERAGE(N8:N17)</f>
        <v>0.93599999999999994</v>
      </c>
      <c r="O19" s="295">
        <f t="shared" ref="O19:X19" si="1">+AVERAGE(O8:O17)</f>
        <v>0.85600000000000009</v>
      </c>
      <c r="P19" s="295">
        <f t="shared" si="1"/>
        <v>0.94444444444444442</v>
      </c>
      <c r="Q19" s="295">
        <f t="shared" si="1"/>
        <v>1</v>
      </c>
      <c r="R19" s="295">
        <f t="shared" si="1"/>
        <v>1</v>
      </c>
      <c r="S19" s="295">
        <f t="shared" si="1"/>
        <v>0.91200000000000014</v>
      </c>
      <c r="T19" s="295">
        <f t="shared" si="1"/>
        <v>0.92500000000000004</v>
      </c>
      <c r="U19" s="295">
        <f t="shared" si="1"/>
        <v>0.78</v>
      </c>
      <c r="V19" s="295">
        <f t="shared" si="1"/>
        <v>0.63</v>
      </c>
      <c r="W19" s="295">
        <f t="shared" si="1"/>
        <v>0.88000000000000012</v>
      </c>
      <c r="X19" s="295">
        <f t="shared" si="1"/>
        <v>1</v>
      </c>
      <c r="Y19" s="281">
        <f>AVERAGE(Y8:Y17)</f>
        <v>0.89460909090909069</v>
      </c>
    </row>
    <row r="20" spans="1:26" ht="31.5">
      <c r="G20" s="230" t="s">
        <v>982</v>
      </c>
      <c r="H20" s="233"/>
      <c r="I20" s="233"/>
      <c r="J20" s="233"/>
      <c r="K20" s="233"/>
      <c r="L20" s="227">
        <f>+AVERAGE(L8:L17)</f>
        <v>0.82000000000000006</v>
      </c>
      <c r="M20" s="227">
        <f>+AVERAGE(M8:M17)</f>
        <v>1</v>
      </c>
      <c r="N20" s="233"/>
      <c r="O20" s="233"/>
      <c r="P20" s="233"/>
      <c r="Q20" s="233"/>
      <c r="R20" s="233"/>
      <c r="S20" s="233"/>
      <c r="T20" s="233"/>
      <c r="U20" s="233"/>
      <c r="V20" s="233"/>
      <c r="W20" s="233"/>
      <c r="X20" s="233"/>
    </row>
  </sheetData>
  <mergeCells count="19">
    <mergeCell ref="N5:Y6"/>
    <mergeCell ref="A4:Y4"/>
    <mergeCell ref="J5:M5"/>
    <mergeCell ref="G16:G17"/>
    <mergeCell ref="B16:B17"/>
    <mergeCell ref="A8:A17"/>
    <mergeCell ref="H6:H7"/>
    <mergeCell ref="I6:I7"/>
    <mergeCell ref="B8:B15"/>
    <mergeCell ref="G8:G9"/>
    <mergeCell ref="G13:G14"/>
    <mergeCell ref="F5:F7"/>
    <mergeCell ref="G5:G7"/>
    <mergeCell ref="H5:I5"/>
    <mergeCell ref="A5:A7"/>
    <mergeCell ref="B5:B7"/>
    <mergeCell ref="C5:C7"/>
    <mergeCell ref="D5:D7"/>
    <mergeCell ref="E5:E7"/>
  </mergeCells>
  <pageMargins left="0.7" right="0.7" top="0.75" bottom="0.75" header="0.3" footer="0.3"/>
  <pageSetup scale="24" orientation="portrait"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Categorías!$A$3:$A$9</xm:f>
          </x14:formula1>
          <xm:sqref>A8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8080"/>
  </sheetPr>
  <dimension ref="A1:Y12"/>
  <sheetViews>
    <sheetView zoomScale="70" zoomScaleNormal="70" workbookViewId="0">
      <selection activeCell="A5" sqref="A5:A7"/>
    </sheetView>
  </sheetViews>
  <sheetFormatPr baseColWidth="10" defaultColWidth="10.7109375" defaultRowHeight="12.75"/>
  <cols>
    <col min="1" max="1" width="19.42578125" customWidth="1"/>
    <col min="2" max="2" width="18.28515625" customWidth="1"/>
    <col min="3" max="3" width="16.5703125" customWidth="1"/>
    <col min="4" max="4" width="18.42578125" customWidth="1"/>
    <col min="5" max="5" width="14.28515625" customWidth="1"/>
    <col min="6" max="6" width="17.42578125" customWidth="1"/>
    <col min="7" max="7" width="29.7109375" customWidth="1"/>
    <col min="8" max="9" width="15.7109375" hidden="1" customWidth="1"/>
    <col min="10" max="11" width="17.85546875" hidden="1" customWidth="1"/>
    <col min="12" max="12" width="17.85546875" customWidth="1"/>
    <col min="13" max="13" width="17.85546875" hidden="1" customWidth="1"/>
    <col min="14" max="21" width="15.85546875" customWidth="1"/>
    <col min="22" max="22" width="14.28515625" customWidth="1"/>
    <col min="23" max="23" width="12.5703125" customWidth="1"/>
    <col min="25" max="25" width="12.5703125" customWidth="1"/>
  </cols>
  <sheetData>
    <row r="1" spans="1:25" ht="20.25" customHeight="1"/>
    <row r="2" spans="1:25" ht="28.5" customHeight="1"/>
    <row r="4" spans="1:25" ht="33.75">
      <c r="A4" s="337" t="s">
        <v>512</v>
      </c>
      <c r="B4" s="338"/>
      <c r="C4" s="338"/>
      <c r="D4" s="338"/>
      <c r="E4" s="338"/>
      <c r="F4" s="338"/>
      <c r="G4" s="338"/>
      <c r="H4" s="338"/>
      <c r="I4" s="338"/>
      <c r="J4" s="338"/>
      <c r="K4" s="338"/>
      <c r="L4" s="338"/>
      <c r="M4" s="338"/>
      <c r="N4" s="338"/>
      <c r="O4" s="338"/>
      <c r="P4" s="338"/>
      <c r="Q4" s="338"/>
      <c r="R4" s="338"/>
      <c r="S4" s="338"/>
      <c r="T4" s="338"/>
      <c r="U4" s="338"/>
      <c r="V4" s="338"/>
      <c r="W4" s="338"/>
      <c r="X4" s="338"/>
      <c r="Y4" s="338"/>
    </row>
    <row r="5" spans="1:25" ht="39.75" customHeight="1">
      <c r="A5" s="396" t="s">
        <v>103</v>
      </c>
      <c r="B5" s="396" t="s">
        <v>74</v>
      </c>
      <c r="C5" s="396" t="s">
        <v>65</v>
      </c>
      <c r="D5" s="396" t="s">
        <v>66</v>
      </c>
      <c r="E5" s="396" t="s">
        <v>67</v>
      </c>
      <c r="F5" s="396" t="s">
        <v>68</v>
      </c>
      <c r="G5" s="396" t="s">
        <v>69</v>
      </c>
      <c r="H5" s="397" t="s">
        <v>70</v>
      </c>
      <c r="I5" s="397"/>
      <c r="J5" s="396" t="s">
        <v>79</v>
      </c>
      <c r="K5" s="396"/>
      <c r="L5" s="396"/>
      <c r="M5" s="396"/>
      <c r="N5" s="395" t="s">
        <v>558</v>
      </c>
      <c r="O5" s="395"/>
      <c r="P5" s="395"/>
      <c r="Q5" s="395"/>
      <c r="R5" s="395"/>
      <c r="S5" s="395"/>
      <c r="T5" s="395"/>
      <c r="U5" s="395"/>
      <c r="V5" s="395"/>
      <c r="W5" s="395"/>
      <c r="X5" s="395"/>
      <c r="Y5" s="395"/>
    </row>
    <row r="6" spans="1:25" ht="30" customHeight="1">
      <c r="A6" s="396"/>
      <c r="B6" s="396"/>
      <c r="C6" s="396"/>
      <c r="D6" s="396"/>
      <c r="E6" s="396"/>
      <c r="F6" s="396"/>
      <c r="G6" s="396"/>
      <c r="H6" s="396" t="s">
        <v>71</v>
      </c>
      <c r="I6" s="396" t="s">
        <v>72</v>
      </c>
      <c r="J6" s="111" t="s">
        <v>75</v>
      </c>
      <c r="K6" s="111" t="s">
        <v>76</v>
      </c>
      <c r="L6" s="111" t="s">
        <v>77</v>
      </c>
      <c r="M6" s="111" t="s">
        <v>78</v>
      </c>
      <c r="N6" s="395"/>
      <c r="O6" s="395"/>
      <c r="P6" s="395"/>
      <c r="Q6" s="395"/>
      <c r="R6" s="395"/>
      <c r="S6" s="395"/>
      <c r="T6" s="395"/>
      <c r="U6" s="395"/>
      <c r="V6" s="395"/>
      <c r="W6" s="395"/>
      <c r="X6" s="395"/>
      <c r="Y6" s="395"/>
    </row>
    <row r="7" spans="1:25" ht="47.25" customHeight="1">
      <c r="A7" s="396"/>
      <c r="B7" s="396"/>
      <c r="C7" s="396"/>
      <c r="D7" s="396"/>
      <c r="E7" s="396"/>
      <c r="F7" s="396"/>
      <c r="G7" s="396"/>
      <c r="H7" s="396"/>
      <c r="I7" s="396"/>
      <c r="J7" s="112" t="s">
        <v>64</v>
      </c>
      <c r="K7" s="112" t="s">
        <v>64</v>
      </c>
      <c r="L7" s="112" t="s">
        <v>64</v>
      </c>
      <c r="M7" s="112" t="s">
        <v>64</v>
      </c>
      <c r="N7" s="184" t="s">
        <v>198</v>
      </c>
      <c r="O7" s="184" t="s">
        <v>349</v>
      </c>
      <c r="P7" s="184" t="s">
        <v>283</v>
      </c>
      <c r="Q7" s="184" t="s">
        <v>371</v>
      </c>
      <c r="R7" s="184" t="s">
        <v>380</v>
      </c>
      <c r="S7" s="184" t="s">
        <v>391</v>
      </c>
      <c r="T7" s="184" t="s">
        <v>487</v>
      </c>
      <c r="U7" s="184" t="s">
        <v>392</v>
      </c>
      <c r="V7" s="184" t="s">
        <v>555</v>
      </c>
      <c r="W7" s="184" t="s">
        <v>397</v>
      </c>
      <c r="X7" s="184" t="s">
        <v>556</v>
      </c>
      <c r="Y7" s="236" t="s">
        <v>557</v>
      </c>
    </row>
    <row r="8" spans="1:25" ht="157.5">
      <c r="A8" s="319" t="s">
        <v>62</v>
      </c>
      <c r="B8" s="318" t="s">
        <v>98</v>
      </c>
      <c r="C8" s="21" t="s">
        <v>164</v>
      </c>
      <c r="D8" s="18">
        <v>0.7</v>
      </c>
      <c r="E8" s="16" t="s">
        <v>105</v>
      </c>
      <c r="F8" s="60" t="s">
        <v>160</v>
      </c>
      <c r="G8" s="89" t="s">
        <v>161</v>
      </c>
      <c r="H8" s="30">
        <v>43132</v>
      </c>
      <c r="I8" s="30">
        <v>43373</v>
      </c>
      <c r="J8" s="10">
        <v>0.2</v>
      </c>
      <c r="K8" s="10">
        <v>0.5</v>
      </c>
      <c r="L8" s="10">
        <v>1</v>
      </c>
      <c r="M8" s="10">
        <v>1</v>
      </c>
      <c r="N8" s="290">
        <v>1</v>
      </c>
      <c r="O8" s="10">
        <v>1</v>
      </c>
      <c r="P8" s="10">
        <v>1</v>
      </c>
      <c r="Q8" s="10">
        <v>0.7</v>
      </c>
      <c r="R8" s="10">
        <v>1</v>
      </c>
      <c r="S8" s="10">
        <v>0.5</v>
      </c>
      <c r="T8" s="253">
        <v>1</v>
      </c>
      <c r="U8" s="10">
        <v>0.5</v>
      </c>
      <c r="V8" s="253">
        <v>0.3</v>
      </c>
      <c r="W8" s="253">
        <v>1</v>
      </c>
      <c r="X8" s="253">
        <v>0.95</v>
      </c>
      <c r="Y8" s="235">
        <f>+AVERAGE(N8:X8)</f>
        <v>0.8136363636363636</v>
      </c>
    </row>
    <row r="9" spans="1:25" ht="204.75">
      <c r="A9" s="319"/>
      <c r="B9" s="318"/>
      <c r="C9" s="21" t="s">
        <v>165</v>
      </c>
      <c r="D9" s="18">
        <v>0.3</v>
      </c>
      <c r="E9" s="16" t="s">
        <v>105</v>
      </c>
      <c r="F9" s="60" t="s">
        <v>162</v>
      </c>
      <c r="G9" s="89" t="s">
        <v>163</v>
      </c>
      <c r="H9" s="30">
        <v>43282</v>
      </c>
      <c r="I9" s="30">
        <v>43464</v>
      </c>
      <c r="J9" s="10">
        <v>0</v>
      </c>
      <c r="K9" s="10">
        <v>0</v>
      </c>
      <c r="L9" s="10">
        <v>0.5</v>
      </c>
      <c r="M9" s="10">
        <v>1</v>
      </c>
      <c r="N9" s="290">
        <v>1</v>
      </c>
      <c r="O9" s="10">
        <v>1</v>
      </c>
      <c r="P9" s="10">
        <v>1</v>
      </c>
      <c r="Q9" s="10">
        <v>0.5</v>
      </c>
      <c r="R9" s="10">
        <v>0.9</v>
      </c>
      <c r="S9" s="10">
        <v>0.5</v>
      </c>
      <c r="T9" s="253">
        <v>1</v>
      </c>
      <c r="U9" s="10">
        <v>0.5</v>
      </c>
      <c r="V9" s="253">
        <v>0.3</v>
      </c>
      <c r="W9" s="253">
        <v>0.5</v>
      </c>
      <c r="X9" s="253">
        <v>0.75</v>
      </c>
      <c r="Y9" s="235">
        <f>+AVERAGE(N9:X9)</f>
        <v>0.72272727272727277</v>
      </c>
    </row>
    <row r="11" spans="1:25" ht="31.5">
      <c r="G11" s="230" t="s">
        <v>977</v>
      </c>
      <c r="H11" s="233"/>
      <c r="I11" s="233"/>
      <c r="J11" s="233"/>
      <c r="K11" s="233"/>
      <c r="L11" s="233"/>
      <c r="M11" s="233"/>
      <c r="N11" s="295">
        <f>+AVERAGE(N8:N9)</f>
        <v>1</v>
      </c>
      <c r="O11" s="295">
        <f t="shared" ref="O11:X11" si="0">+AVERAGE(O8:O9)</f>
        <v>1</v>
      </c>
      <c r="P11" s="295">
        <f t="shared" si="0"/>
        <v>1</v>
      </c>
      <c r="Q11" s="295">
        <f t="shared" si="0"/>
        <v>0.6</v>
      </c>
      <c r="R11" s="295">
        <f t="shared" si="0"/>
        <v>0.95</v>
      </c>
      <c r="S11" s="295">
        <f t="shared" si="0"/>
        <v>0.5</v>
      </c>
      <c r="T11" s="295">
        <f t="shared" si="0"/>
        <v>1</v>
      </c>
      <c r="U11" s="295">
        <f t="shared" si="0"/>
        <v>0.5</v>
      </c>
      <c r="V11" s="295">
        <f t="shared" si="0"/>
        <v>0.3</v>
      </c>
      <c r="W11" s="295">
        <f t="shared" si="0"/>
        <v>0.75</v>
      </c>
      <c r="X11" s="295">
        <f t="shared" si="0"/>
        <v>0.85</v>
      </c>
      <c r="Y11" s="281">
        <f>AVERAGE(Y8:Y9)</f>
        <v>0.76818181818181819</v>
      </c>
    </row>
    <row r="12" spans="1:25" ht="47.25">
      <c r="G12" s="230" t="s">
        <v>983</v>
      </c>
      <c r="H12" s="233"/>
      <c r="I12" s="233"/>
      <c r="J12" s="233"/>
      <c r="K12" s="233"/>
      <c r="L12" s="227">
        <f>+AVERAGE(L8:L9)</f>
        <v>0.75</v>
      </c>
      <c r="M12" s="233"/>
      <c r="N12" s="233"/>
      <c r="O12" s="233"/>
      <c r="P12" s="233"/>
      <c r="Q12" s="233"/>
      <c r="R12" s="233"/>
      <c r="S12" s="233"/>
      <c r="T12" s="233"/>
      <c r="U12" s="233"/>
      <c r="V12" s="233"/>
      <c r="W12" s="233"/>
      <c r="X12" s="233"/>
    </row>
  </sheetData>
  <mergeCells count="15">
    <mergeCell ref="A8:A9"/>
    <mergeCell ref="B8:B9"/>
    <mergeCell ref="A5:A7"/>
    <mergeCell ref="B5:B7"/>
    <mergeCell ref="C5:C7"/>
    <mergeCell ref="N5:Y6"/>
    <mergeCell ref="A4:Y4"/>
    <mergeCell ref="J5:M5"/>
    <mergeCell ref="H6:H7"/>
    <mergeCell ref="I6:I7"/>
    <mergeCell ref="D5:D7"/>
    <mergeCell ref="E5:E7"/>
    <mergeCell ref="F5:F7"/>
    <mergeCell ref="G5:G7"/>
    <mergeCell ref="H5:I5"/>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Categorías!$A$3:$A$9</xm:f>
          </x14:formula1>
          <xm:sqref>A8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8080"/>
  </sheetPr>
  <dimension ref="A1:Y14"/>
  <sheetViews>
    <sheetView zoomScale="80" zoomScaleNormal="80" workbookViewId="0">
      <selection activeCell="O24" sqref="O24"/>
    </sheetView>
  </sheetViews>
  <sheetFormatPr baseColWidth="10" defaultColWidth="10.7109375" defaultRowHeight="12.75"/>
  <cols>
    <col min="1" max="1" width="20.28515625" customWidth="1"/>
    <col min="2" max="2" width="18.85546875" customWidth="1"/>
    <col min="3" max="3" width="23.28515625" customWidth="1"/>
    <col min="4" max="4" width="17.5703125" customWidth="1"/>
    <col min="5" max="5" width="17.42578125" customWidth="1"/>
    <col min="6" max="6" width="21.28515625" customWidth="1"/>
    <col min="7" max="7" width="34.28515625" customWidth="1"/>
    <col min="8" max="9" width="16" hidden="1" customWidth="1"/>
    <col min="10" max="10" width="16.28515625" hidden="1" customWidth="1"/>
    <col min="11" max="11" width="20.28515625" hidden="1" customWidth="1"/>
    <col min="12" max="12" width="16.28515625" customWidth="1"/>
    <col min="13" max="13" width="16.28515625" hidden="1" customWidth="1"/>
    <col min="14" max="14" width="15.28515625" customWidth="1"/>
    <col min="15" max="15" width="16" customWidth="1"/>
    <col min="16" max="16" width="14" customWidth="1"/>
    <col min="17" max="17" width="14.7109375" customWidth="1"/>
    <col min="18" max="18" width="14.140625" customWidth="1"/>
    <col min="19" max="19" width="13.5703125" customWidth="1"/>
    <col min="20" max="20" width="13.42578125" customWidth="1"/>
    <col min="21" max="21" width="14.42578125" customWidth="1"/>
    <col min="22" max="22" width="12.7109375" customWidth="1"/>
    <col min="23" max="23" width="12.85546875" customWidth="1"/>
    <col min="24" max="24" width="11.5703125" customWidth="1"/>
    <col min="25" max="25" width="13" customWidth="1"/>
  </cols>
  <sheetData>
    <row r="1" spans="1:25" ht="28.5" customHeight="1"/>
    <row r="2" spans="1:25" ht="28.5" customHeight="1"/>
    <row r="4" spans="1:25" ht="33.75">
      <c r="A4" s="316" t="s">
        <v>512</v>
      </c>
      <c r="B4" s="316"/>
      <c r="C4" s="316"/>
      <c r="D4" s="316"/>
      <c r="E4" s="316"/>
      <c r="F4" s="316"/>
      <c r="G4" s="316"/>
      <c r="H4" s="316"/>
      <c r="I4" s="316"/>
      <c r="J4" s="316"/>
      <c r="K4" s="316"/>
      <c r="L4" s="316"/>
      <c r="M4" s="316"/>
      <c r="N4" s="316"/>
      <c r="O4" s="316"/>
      <c r="P4" s="316"/>
      <c r="Q4" s="316"/>
      <c r="R4" s="316"/>
      <c r="S4" s="316"/>
      <c r="T4" s="316"/>
      <c r="U4" s="316"/>
    </row>
    <row r="5" spans="1:25" ht="30" customHeight="1">
      <c r="A5" s="396" t="s">
        <v>103</v>
      </c>
      <c r="B5" s="396" t="s">
        <v>74</v>
      </c>
      <c r="C5" s="396" t="s">
        <v>65</v>
      </c>
      <c r="D5" s="396" t="s">
        <v>66</v>
      </c>
      <c r="E5" s="396" t="s">
        <v>67</v>
      </c>
      <c r="F5" s="396" t="s">
        <v>68</v>
      </c>
      <c r="G5" s="396" t="s">
        <v>69</v>
      </c>
      <c r="H5" s="397" t="s">
        <v>70</v>
      </c>
      <c r="I5" s="397"/>
      <c r="J5" s="396" t="s">
        <v>79</v>
      </c>
      <c r="K5" s="396"/>
      <c r="L5" s="396"/>
      <c r="M5" s="396"/>
      <c r="N5" s="317" t="s">
        <v>558</v>
      </c>
      <c r="O5" s="317"/>
      <c r="P5" s="317"/>
      <c r="Q5" s="317"/>
      <c r="R5" s="317"/>
      <c r="S5" s="317"/>
      <c r="T5" s="317"/>
      <c r="U5" s="317"/>
      <c r="V5" s="317"/>
      <c r="W5" s="317"/>
      <c r="X5" s="317"/>
      <c r="Y5" s="317"/>
    </row>
    <row r="6" spans="1:25" ht="30" customHeight="1">
      <c r="A6" s="396"/>
      <c r="B6" s="396"/>
      <c r="C6" s="396"/>
      <c r="D6" s="396"/>
      <c r="E6" s="396"/>
      <c r="F6" s="396"/>
      <c r="G6" s="396"/>
      <c r="H6" s="396" t="s">
        <v>71</v>
      </c>
      <c r="I6" s="396" t="s">
        <v>72</v>
      </c>
      <c r="J6" s="111" t="s">
        <v>75</v>
      </c>
      <c r="K6" s="111" t="s">
        <v>76</v>
      </c>
      <c r="L6" s="111" t="s">
        <v>77</v>
      </c>
      <c r="M6" s="111" t="s">
        <v>78</v>
      </c>
      <c r="N6" s="317"/>
      <c r="O6" s="317"/>
      <c r="P6" s="317"/>
      <c r="Q6" s="317"/>
      <c r="R6" s="317"/>
      <c r="S6" s="317"/>
      <c r="T6" s="317"/>
      <c r="U6" s="317"/>
      <c r="V6" s="317"/>
      <c r="W6" s="317"/>
      <c r="X6" s="317"/>
      <c r="Y6" s="317"/>
    </row>
    <row r="7" spans="1:25" ht="36">
      <c r="A7" s="396"/>
      <c r="B7" s="396"/>
      <c r="C7" s="396"/>
      <c r="D7" s="396"/>
      <c r="E7" s="396"/>
      <c r="F7" s="396"/>
      <c r="G7" s="396"/>
      <c r="H7" s="396"/>
      <c r="I7" s="396"/>
      <c r="J7" s="112" t="s">
        <v>64</v>
      </c>
      <c r="K7" s="112" t="s">
        <v>64</v>
      </c>
      <c r="L7" s="112" t="s">
        <v>64</v>
      </c>
      <c r="M7" s="112" t="s">
        <v>64</v>
      </c>
      <c r="N7" s="184" t="s">
        <v>198</v>
      </c>
      <c r="O7" s="184" t="s">
        <v>349</v>
      </c>
      <c r="P7" s="184" t="s">
        <v>283</v>
      </c>
      <c r="Q7" s="184" t="s">
        <v>371</v>
      </c>
      <c r="R7" s="184" t="s">
        <v>380</v>
      </c>
      <c r="S7" s="184" t="s">
        <v>391</v>
      </c>
      <c r="T7" s="184" t="s">
        <v>487</v>
      </c>
      <c r="U7" s="184" t="s">
        <v>392</v>
      </c>
      <c r="V7" s="184" t="s">
        <v>555</v>
      </c>
      <c r="W7" s="186" t="s">
        <v>397</v>
      </c>
      <c r="X7" s="186" t="s">
        <v>556</v>
      </c>
      <c r="Y7" s="184" t="s">
        <v>557</v>
      </c>
    </row>
    <row r="8" spans="1:25" ht="60">
      <c r="A8" s="319" t="s">
        <v>63</v>
      </c>
      <c r="B8" s="318" t="s">
        <v>63</v>
      </c>
      <c r="C8" s="22" t="s">
        <v>184</v>
      </c>
      <c r="D8" s="18">
        <v>0.3</v>
      </c>
      <c r="E8" s="16" t="s">
        <v>105</v>
      </c>
      <c r="F8" s="21">
        <v>1</v>
      </c>
      <c r="G8" s="20" t="s">
        <v>185</v>
      </c>
      <c r="H8" s="23">
        <v>43101</v>
      </c>
      <c r="I8" s="17">
        <v>43373</v>
      </c>
      <c r="J8" s="24">
        <v>0.15</v>
      </c>
      <c r="K8" s="24">
        <v>0.5</v>
      </c>
      <c r="L8" s="24">
        <v>1</v>
      </c>
      <c r="M8" s="24">
        <v>1</v>
      </c>
      <c r="N8" s="163">
        <v>1</v>
      </c>
      <c r="O8" s="164">
        <v>1</v>
      </c>
      <c r="P8" s="120">
        <v>0.75</v>
      </c>
      <c r="Q8" s="164">
        <v>1</v>
      </c>
      <c r="R8" s="164">
        <v>1</v>
      </c>
      <c r="S8" s="120">
        <v>1</v>
      </c>
      <c r="T8" s="120">
        <v>0.5</v>
      </c>
      <c r="U8" s="120">
        <v>1</v>
      </c>
      <c r="V8" s="168">
        <v>0.8</v>
      </c>
      <c r="W8" s="164">
        <v>1</v>
      </c>
      <c r="X8" s="164">
        <v>1</v>
      </c>
      <c r="Y8" s="237">
        <f>+AVERAGE(N8:X8)</f>
        <v>0.91363636363636369</v>
      </c>
    </row>
    <row r="9" spans="1:25" ht="45">
      <c r="A9" s="319"/>
      <c r="B9" s="318"/>
      <c r="C9" s="22" t="s">
        <v>186</v>
      </c>
      <c r="D9" s="18">
        <v>0.3</v>
      </c>
      <c r="E9" s="16" t="s">
        <v>105</v>
      </c>
      <c r="F9" s="21">
        <v>1</v>
      </c>
      <c r="G9" s="19" t="s">
        <v>100</v>
      </c>
      <c r="H9" s="23">
        <v>43101</v>
      </c>
      <c r="I9" s="17">
        <v>43465</v>
      </c>
      <c r="J9" s="24">
        <v>0.25</v>
      </c>
      <c r="K9" s="24">
        <v>0.5</v>
      </c>
      <c r="L9" s="24">
        <v>0.75</v>
      </c>
      <c r="M9" s="24">
        <v>1</v>
      </c>
      <c r="N9" s="120">
        <v>1</v>
      </c>
      <c r="O9" s="164">
        <v>1</v>
      </c>
      <c r="P9" s="120">
        <v>1</v>
      </c>
      <c r="Q9" s="164">
        <v>1</v>
      </c>
      <c r="R9" s="164">
        <v>1</v>
      </c>
      <c r="S9" s="120">
        <v>0.25</v>
      </c>
      <c r="T9" s="120">
        <v>1</v>
      </c>
      <c r="U9" s="120">
        <v>1</v>
      </c>
      <c r="V9" s="168">
        <v>0.5</v>
      </c>
      <c r="W9" s="164">
        <v>1</v>
      </c>
      <c r="X9" s="164">
        <v>1</v>
      </c>
      <c r="Y9" s="237">
        <f>+AVERAGE(N9:X9)</f>
        <v>0.88636363636363635</v>
      </c>
    </row>
    <row r="10" spans="1:25" ht="45">
      <c r="A10" s="319"/>
      <c r="B10" s="318"/>
      <c r="C10" s="22" t="s">
        <v>187</v>
      </c>
      <c r="D10" s="18">
        <v>0.2</v>
      </c>
      <c r="E10" s="16" t="s">
        <v>105</v>
      </c>
      <c r="F10" s="21">
        <v>1</v>
      </c>
      <c r="G10" s="19" t="s">
        <v>101</v>
      </c>
      <c r="H10" s="23">
        <v>43101</v>
      </c>
      <c r="I10" s="17">
        <v>43465</v>
      </c>
      <c r="J10" s="24">
        <v>0.2</v>
      </c>
      <c r="K10" s="24">
        <v>0.6</v>
      </c>
      <c r="L10" s="24">
        <v>1</v>
      </c>
      <c r="M10" s="24">
        <v>1</v>
      </c>
      <c r="N10" s="120">
        <v>1</v>
      </c>
      <c r="O10" s="164">
        <v>1</v>
      </c>
      <c r="P10" s="120">
        <v>1</v>
      </c>
      <c r="Q10" s="164">
        <v>1</v>
      </c>
      <c r="R10" s="120">
        <v>0.97</v>
      </c>
      <c r="S10" s="120">
        <v>1</v>
      </c>
      <c r="T10" s="120">
        <v>0.6</v>
      </c>
      <c r="U10" s="119">
        <v>1</v>
      </c>
      <c r="V10" s="168">
        <v>1</v>
      </c>
      <c r="W10" s="164">
        <v>1</v>
      </c>
      <c r="X10" s="164">
        <v>1</v>
      </c>
      <c r="Y10" s="237">
        <f>+AVERAGE(N10:X10)</f>
        <v>0.96090909090909093</v>
      </c>
    </row>
    <row r="11" spans="1:25" ht="75">
      <c r="A11" s="319"/>
      <c r="B11" s="318"/>
      <c r="C11" s="22" t="s">
        <v>188</v>
      </c>
      <c r="D11" s="18">
        <v>0.2</v>
      </c>
      <c r="E11" s="16" t="s">
        <v>105</v>
      </c>
      <c r="F11" s="21">
        <v>1</v>
      </c>
      <c r="G11" s="19" t="s">
        <v>102</v>
      </c>
      <c r="H11" s="23">
        <v>43191</v>
      </c>
      <c r="I11" s="17">
        <v>43465</v>
      </c>
      <c r="J11" s="24">
        <v>0</v>
      </c>
      <c r="K11" s="24">
        <v>0.5</v>
      </c>
      <c r="L11" s="24">
        <v>0.75</v>
      </c>
      <c r="M11" s="24">
        <v>1</v>
      </c>
      <c r="N11" s="120">
        <v>1</v>
      </c>
      <c r="O11" s="164">
        <v>1</v>
      </c>
      <c r="P11" s="120">
        <v>1</v>
      </c>
      <c r="Q11" s="164">
        <v>1</v>
      </c>
      <c r="R11" s="120">
        <v>1</v>
      </c>
      <c r="S11" s="120">
        <v>1</v>
      </c>
      <c r="T11" s="120">
        <v>0.75</v>
      </c>
      <c r="U11" s="119">
        <v>1</v>
      </c>
      <c r="V11" s="168">
        <v>0.8</v>
      </c>
      <c r="W11" s="164">
        <v>1</v>
      </c>
      <c r="X11" s="164">
        <v>1</v>
      </c>
      <c r="Y11" s="237">
        <f>+AVERAGE(N11:X11)</f>
        <v>0.95909090909090911</v>
      </c>
    </row>
    <row r="12" spans="1:25" ht="15.75">
      <c r="O12" s="221"/>
      <c r="P12" s="169"/>
      <c r="Q12" s="119"/>
      <c r="S12" s="119"/>
    </row>
    <row r="13" spans="1:25" ht="31.5">
      <c r="G13" s="230" t="s">
        <v>977</v>
      </c>
      <c r="H13" s="233"/>
      <c r="I13" s="233"/>
      <c r="J13" s="233"/>
      <c r="K13" s="233"/>
      <c r="L13" s="233"/>
      <c r="M13" s="233"/>
      <c r="N13" s="295">
        <f>+AVERAGE(N8:N11)</f>
        <v>1</v>
      </c>
      <c r="O13" s="295">
        <f t="shared" ref="O13:X13" si="0">+AVERAGE(O8:O11)</f>
        <v>1</v>
      </c>
      <c r="P13" s="295">
        <f t="shared" si="0"/>
        <v>0.9375</v>
      </c>
      <c r="Q13" s="295">
        <f t="shared" si="0"/>
        <v>1</v>
      </c>
      <c r="R13" s="295">
        <f t="shared" si="0"/>
        <v>0.99249999999999994</v>
      </c>
      <c r="S13" s="295">
        <f t="shared" si="0"/>
        <v>0.8125</v>
      </c>
      <c r="T13" s="295">
        <f t="shared" si="0"/>
        <v>0.71250000000000002</v>
      </c>
      <c r="U13" s="295">
        <f t="shared" si="0"/>
        <v>1</v>
      </c>
      <c r="V13" s="295">
        <f t="shared" si="0"/>
        <v>0.77499999999999991</v>
      </c>
      <c r="W13" s="295">
        <f t="shared" si="0"/>
        <v>1</v>
      </c>
      <c r="X13" s="295">
        <f t="shared" si="0"/>
        <v>1</v>
      </c>
      <c r="Y13" s="281">
        <f>AVERAGE(Y8:Y11)</f>
        <v>0.92999999999999994</v>
      </c>
    </row>
    <row r="14" spans="1:25" ht="31.5">
      <c r="G14" s="230" t="s">
        <v>984</v>
      </c>
      <c r="H14" s="233"/>
      <c r="I14" s="233"/>
      <c r="J14" s="233"/>
      <c r="K14" s="233"/>
      <c r="L14" s="227">
        <f>+AVERAGE(L8:L11)</f>
        <v>0.875</v>
      </c>
      <c r="M14" s="233"/>
      <c r="N14" s="233"/>
      <c r="O14" s="233"/>
      <c r="P14" s="233"/>
      <c r="Q14" s="233"/>
      <c r="R14" s="233"/>
      <c r="S14" s="233"/>
      <c r="T14" s="233"/>
      <c r="U14" s="233"/>
      <c r="V14" s="233"/>
      <c r="W14" s="233"/>
      <c r="X14" s="233"/>
    </row>
  </sheetData>
  <mergeCells count="15">
    <mergeCell ref="A8:A11"/>
    <mergeCell ref="B8:B11"/>
    <mergeCell ref="A5:A7"/>
    <mergeCell ref="B5:B7"/>
    <mergeCell ref="C5:C7"/>
    <mergeCell ref="N5:Y6"/>
    <mergeCell ref="J5:M5"/>
    <mergeCell ref="A4:U4"/>
    <mergeCell ref="H6:H7"/>
    <mergeCell ref="I6:I7"/>
    <mergeCell ref="D5:D7"/>
    <mergeCell ref="E5:E7"/>
    <mergeCell ref="F5:F7"/>
    <mergeCell ref="G5:G7"/>
    <mergeCell ref="H5:I5"/>
  </mergeCell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Categorías!$A$3:$A$9</xm:f>
          </x14:formula1>
          <xm:sqref>A8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2"/>
  <dimension ref="A1:O40"/>
  <sheetViews>
    <sheetView zoomScale="90" zoomScaleNormal="90" workbookViewId="0">
      <selection activeCell="B3" sqref="B3:B6"/>
    </sheetView>
  </sheetViews>
  <sheetFormatPr baseColWidth="10" defaultColWidth="10.7109375" defaultRowHeight="12.75"/>
  <cols>
    <col min="3" max="3" width="16.42578125" customWidth="1"/>
  </cols>
  <sheetData>
    <row r="1" spans="1:15" ht="12.75" customHeight="1">
      <c r="A1" s="402" t="s">
        <v>13</v>
      </c>
      <c r="B1" s="401" t="s">
        <v>5</v>
      </c>
      <c r="C1" s="402" t="s">
        <v>14</v>
      </c>
      <c r="D1" s="402" t="s">
        <v>12</v>
      </c>
      <c r="E1" s="402" t="s">
        <v>17</v>
      </c>
      <c r="F1" s="402" t="s">
        <v>15</v>
      </c>
      <c r="G1" s="402" t="s">
        <v>11</v>
      </c>
      <c r="H1" s="401" t="s">
        <v>10</v>
      </c>
      <c r="I1" s="398" t="s">
        <v>2</v>
      </c>
      <c r="J1" s="400"/>
      <c r="K1" s="398" t="s">
        <v>3</v>
      </c>
      <c r="L1" s="399"/>
      <c r="M1" s="399"/>
      <c r="N1" s="399"/>
      <c r="O1" s="400"/>
    </row>
    <row r="2" spans="1:15" ht="90">
      <c r="A2" s="403"/>
      <c r="B2" s="401"/>
      <c r="C2" s="403"/>
      <c r="D2" s="403"/>
      <c r="E2" s="403"/>
      <c r="F2" s="403"/>
      <c r="G2" s="403"/>
      <c r="H2" s="401"/>
      <c r="I2" s="3" t="s">
        <v>0</v>
      </c>
      <c r="J2" s="3" t="s">
        <v>1</v>
      </c>
      <c r="K2" s="1" t="s">
        <v>7</v>
      </c>
      <c r="L2" s="1" t="s">
        <v>8</v>
      </c>
      <c r="M2" s="2" t="s">
        <v>6</v>
      </c>
      <c r="N2" s="1" t="s">
        <v>9</v>
      </c>
      <c r="O2" s="3" t="s">
        <v>4</v>
      </c>
    </row>
    <row r="3" spans="1:15" ht="12.75" customHeight="1">
      <c r="A3" s="7" t="s">
        <v>16</v>
      </c>
      <c r="B3" t="s">
        <v>18</v>
      </c>
      <c r="M3" s="4" t="s">
        <v>57</v>
      </c>
    </row>
    <row r="4" spans="1:15" ht="12.75" customHeight="1">
      <c r="A4" s="7" t="s">
        <v>58</v>
      </c>
      <c r="B4" t="s">
        <v>19</v>
      </c>
      <c r="M4" s="5" t="s">
        <v>21</v>
      </c>
    </row>
    <row r="5" spans="1:15" ht="12.75" customHeight="1">
      <c r="A5" s="7" t="s">
        <v>59</v>
      </c>
      <c r="B5" t="s">
        <v>20</v>
      </c>
      <c r="M5" s="6" t="s">
        <v>22</v>
      </c>
    </row>
    <row r="6" spans="1:15" ht="12.75" customHeight="1">
      <c r="A6" s="7" t="s">
        <v>60</v>
      </c>
      <c r="B6" t="s">
        <v>73</v>
      </c>
      <c r="M6" s="5" t="s">
        <v>23</v>
      </c>
    </row>
    <row r="7" spans="1:15" ht="12.75" customHeight="1">
      <c r="A7" s="7" t="s">
        <v>61</v>
      </c>
      <c r="M7" s="6" t="s">
        <v>24</v>
      </c>
    </row>
    <row r="8" spans="1:15" ht="12.75" customHeight="1">
      <c r="A8" s="7" t="s">
        <v>62</v>
      </c>
      <c r="M8" s="5" t="s">
        <v>25</v>
      </c>
    </row>
    <row r="9" spans="1:15" ht="12.75" customHeight="1">
      <c r="A9" s="7" t="s">
        <v>63</v>
      </c>
      <c r="M9" s="6" t="s">
        <v>26</v>
      </c>
    </row>
    <row r="10" spans="1:15" ht="12.75" customHeight="1">
      <c r="M10" s="5" t="s">
        <v>27</v>
      </c>
    </row>
    <row r="11" spans="1:15" ht="12.75" customHeight="1">
      <c r="M11" s="6" t="s">
        <v>28</v>
      </c>
    </row>
    <row r="12" spans="1:15" ht="12.75" customHeight="1">
      <c r="M12" s="5" t="s">
        <v>29</v>
      </c>
    </row>
    <row r="13" spans="1:15" ht="12.75" customHeight="1">
      <c r="M13" s="6" t="s">
        <v>30</v>
      </c>
    </row>
    <row r="14" spans="1:15" ht="12.75" customHeight="1">
      <c r="M14" s="5" t="s">
        <v>31</v>
      </c>
    </row>
    <row r="15" spans="1:15" ht="12.75" customHeight="1">
      <c r="M15" s="6" t="s">
        <v>32</v>
      </c>
    </row>
    <row r="16" spans="1:15" ht="12.75" customHeight="1">
      <c r="M16" s="5" t="s">
        <v>33</v>
      </c>
    </row>
    <row r="17" spans="13:13" ht="12.75" customHeight="1">
      <c r="M17" s="6" t="s">
        <v>34</v>
      </c>
    </row>
    <row r="18" spans="13:13" ht="12.75" customHeight="1">
      <c r="M18" s="6" t="s">
        <v>35</v>
      </c>
    </row>
    <row r="19" spans="13:13" ht="12.75" customHeight="1">
      <c r="M19" s="5" t="s">
        <v>36</v>
      </c>
    </row>
    <row r="20" spans="13:13" ht="12.75" customHeight="1">
      <c r="M20" s="6" t="s">
        <v>37</v>
      </c>
    </row>
    <row r="21" spans="13:13" ht="12.75" customHeight="1">
      <c r="M21" s="5" t="s">
        <v>38</v>
      </c>
    </row>
    <row r="22" spans="13:13" ht="12.75" customHeight="1">
      <c r="M22" s="6" t="s">
        <v>39</v>
      </c>
    </row>
    <row r="23" spans="13:13" ht="12.75" customHeight="1">
      <c r="M23" s="5" t="s">
        <v>40</v>
      </c>
    </row>
    <row r="24" spans="13:13" ht="12.75" customHeight="1">
      <c r="M24" s="6" t="s">
        <v>41</v>
      </c>
    </row>
    <row r="25" spans="13:13" ht="12.75" customHeight="1">
      <c r="M25" s="5" t="s">
        <v>42</v>
      </c>
    </row>
    <row r="26" spans="13:13" ht="12.75" customHeight="1">
      <c r="M26" s="6" t="s">
        <v>43</v>
      </c>
    </row>
    <row r="27" spans="13:13" ht="12.75" customHeight="1">
      <c r="M27" s="5" t="s">
        <v>44</v>
      </c>
    </row>
    <row r="28" spans="13:13" ht="12.75" customHeight="1">
      <c r="M28" s="6" t="s">
        <v>45</v>
      </c>
    </row>
    <row r="29" spans="13:13" ht="12.75" customHeight="1">
      <c r="M29" s="5" t="s">
        <v>46</v>
      </c>
    </row>
    <row r="30" spans="13:13" ht="12.75" customHeight="1">
      <c r="M30" s="5" t="s">
        <v>47</v>
      </c>
    </row>
    <row r="31" spans="13:13" ht="12.75" customHeight="1">
      <c r="M31" s="6" t="s">
        <v>48</v>
      </c>
    </row>
    <row r="32" spans="13:13" ht="12.75" customHeight="1">
      <c r="M32" s="5" t="s">
        <v>49</v>
      </c>
    </row>
    <row r="33" spans="13:13" ht="12.75" customHeight="1">
      <c r="M33" s="6" t="s">
        <v>50</v>
      </c>
    </row>
    <row r="34" spans="13:13" ht="12.75" customHeight="1">
      <c r="M34" s="5" t="s">
        <v>51</v>
      </c>
    </row>
    <row r="35" spans="13:13" ht="12.75" customHeight="1">
      <c r="M35" s="6" t="s">
        <v>52</v>
      </c>
    </row>
    <row r="36" spans="13:13" ht="12.75" customHeight="1">
      <c r="M36" s="5" t="s">
        <v>53</v>
      </c>
    </row>
    <row r="37" spans="13:13" ht="12.75" customHeight="1">
      <c r="M37" s="6" t="s">
        <v>54</v>
      </c>
    </row>
    <row r="38" spans="13:13" ht="12.75" customHeight="1">
      <c r="M38" s="5" t="s">
        <v>55</v>
      </c>
    </row>
    <row r="39" spans="13:13" ht="12.75" customHeight="1">
      <c r="M39" s="6" t="s">
        <v>56</v>
      </c>
    </row>
    <row r="40" spans="13:13" ht="12.75" customHeight="1"/>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igencia xmlns="bbb1532b-ab18-4e7b-be3e-fa8e2303545f">Vigente</Vigencia>
    <Area_x0020_responsable xmlns="bbb1532b-ab18-4e7b-be3e-fa8e2303545f" xsi:nil="true"/>
    <Fecha_x0020_de_x0020_emisi_x00f3_n_x0020_inicial xmlns="bbb1532b-ab18-4e7b-be3e-fa8e2303545f" xsi:nil="true"/>
    <Estado xmlns="bbb1532b-ab18-4e7b-be3e-fa8e2303545f">Borrador</Estado>
    <Responsable xmlns="bbb1532b-ab18-4e7b-be3e-fa8e2303545f">Ministro</Responsable>
    <Codigo xmlns="bbb1532b-ab18-4e7b-be3e-fa8e2303545f" xsi:nil="true"/>
    <Fecha_x0020_de_x0020_emisi_x00f3_n_x0020_versi_x00f3_n_x0020_vigente xmlns="bbb1532b-ab18-4e7b-be3e-fa8e2303545f" xsi:nil="true"/>
    <Areas_x0020_que_x0020_participan xmlns="bbb1532b-ab18-4e7b-be3e-fa8e2303545f">Todas</Areas_x0020_que_x0020_participa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AA505EA9B55904BA2DA621A3ACCADB5" ma:contentTypeVersion="8" ma:contentTypeDescription="Crear nuevo documento." ma:contentTypeScope="" ma:versionID="39f305984f15cb6c21a9a1d66471c981">
  <xsd:schema xmlns:xsd="http://www.w3.org/2001/XMLSchema" xmlns:p="http://schemas.microsoft.com/office/2006/metadata/properties" xmlns:ns1="bbb1532b-ab18-4e7b-be3e-fa8e2303545f" targetNamespace="http://schemas.microsoft.com/office/2006/metadata/properties" ma:root="true" ma:fieldsID="99e6daded1200a9049ade193328c3f22" ns1:_="">
    <xsd:import namespace="bbb1532b-ab18-4e7b-be3e-fa8e2303545f"/>
    <xsd:element name="properties">
      <xsd:complexType>
        <xsd:sequence>
          <xsd:element name="documentManagement">
            <xsd:complexType>
              <xsd:all>
                <xsd:element ref="ns1:Codigo" minOccurs="0"/>
                <xsd:element ref="ns1:Estado" minOccurs="0"/>
                <xsd:element ref="ns1:Area_x0020_responsable" minOccurs="0"/>
                <xsd:element ref="ns1:Responsable" minOccurs="0"/>
                <xsd:element ref="ns1:Areas_x0020_que_x0020_participan" minOccurs="0"/>
                <xsd:element ref="ns1:Fecha_x0020_de_x0020_emisi_x00f3_n_x0020_inicial" minOccurs="0"/>
                <xsd:element ref="ns1:Fecha_x0020_de_x0020_emisi_x00f3_n_x0020_versi_x00f3_n_x0020_vigente" minOccurs="0"/>
                <xsd:element ref="ns1:Vigencia" minOccurs="0"/>
              </xsd:all>
            </xsd:complexType>
          </xsd:element>
        </xsd:sequence>
      </xsd:complexType>
    </xsd:element>
  </xsd:schema>
  <xsd:schema xmlns:xsd="http://www.w3.org/2001/XMLSchema" xmlns:dms="http://schemas.microsoft.com/office/2006/documentManagement/types" targetNamespace="bbb1532b-ab18-4e7b-be3e-fa8e2303545f" elementFormDefault="qualified">
    <xsd:import namespace="http://schemas.microsoft.com/office/2006/documentManagement/types"/>
    <xsd:element name="Codigo" ma:index="0" nillable="true" ma:displayName="Nombre Documento" ma:default="" ma:internalName="Codigo">
      <xsd:simpleType>
        <xsd:restriction base="dms:Text">
          <xsd:maxLength value="255"/>
        </xsd:restriction>
      </xsd:simpleType>
    </xsd:element>
    <xsd:element name="Estado" ma:index="9" nillable="true" ma:displayName="Estado" ma:default="Borrador" ma:format="Dropdown" ma:internalName="Estado">
      <xsd:simpleType>
        <xsd:restriction base="dms:Choice">
          <xsd:enumeration value="Borrador"/>
          <xsd:enumeration value="Listo para revisar"/>
          <xsd:enumeration value="Aprobado"/>
        </xsd:restriction>
      </xsd:simpleType>
    </xsd:element>
    <xsd:element name="Area_x0020_responsable" ma:index="10" nillable="true" ma:displayName="Area responsable" ma:list="{61e75992-e91a-44ac-aee5-7906d7b8c476}" ma:internalName="Area_x0020_responsable" ma:showField="Title">
      <xsd:simpleType>
        <xsd:restriction base="dms:Lookup"/>
      </xsd:simpleType>
    </xsd:element>
    <xsd:element name="Responsable" ma:index="11" nillable="true" ma:displayName="Responsable" ma:default="Ministro" ma:format="Dropdown" ma:internalName="Responsable">
      <xsd:simpleType>
        <xsd:restriction base="dms:Choice">
          <xsd:enumeration value="Ministro"/>
          <xsd:enumeration value="Vice Ministro"/>
          <xsd:enumeration value="Director"/>
          <xsd:enumeration value="Jefe de Oficina"/>
          <xsd:enumeration value="Subdirector"/>
          <xsd:enumeration value="Asesor"/>
          <xsd:enumeration value="Profesional especializado"/>
          <xsd:enumeration value="Profesional"/>
          <xsd:enumeration value="Tecnico"/>
          <xsd:enumeration value="Técnico asistencial"/>
        </xsd:restriction>
      </xsd:simpleType>
    </xsd:element>
    <xsd:element name="Areas_x0020_que_x0020_participan" ma:index="12" nillable="true" ma:displayName="Areas que participan" ma:default="Todas" ma:format="Dropdown" ma:internalName="Areas_x0020_que_x0020_participan">
      <xsd:simpleType>
        <xsd:restriction base="dms:Choice">
          <xsd:enumeration value="Todas"/>
          <xsd:enumeration value="Atención al Ciudadano"/>
          <xsd:enumeration value="Grupo de Contabilidad"/>
          <xsd:enumeration value="Contraloría General"/>
          <xsd:enumeration value="Despacho Ministro"/>
          <xsd:enumeration value="Despacho Viceministro"/>
          <xsd:enumeration value="Dirección de Calidad para la Educación Preescolar B y M"/>
          <xsd:enumeration value="Dirección de Calidad para la Educación Superior"/>
          <xsd:enumeration value="Dirección de Descentralización"/>
          <xsd:enumeration value="Dirección de Fomento de la Educación Superior"/>
          <xsd:enumeration value="Dirección de Cobertura y Equidad"/>
          <xsd:enumeration value="Modernización"/>
          <xsd:enumeration value="Oficina Asesora de Comunicaciones"/>
          <xsd:enumeration value="Oficina Asesora de Planeación y finanzas"/>
          <xsd:enumeration value="Oficina Asesora Jurídica"/>
          <xsd:enumeration value="Oficina de Control Interno"/>
          <xsd:enumeration value="Oficina de Cooperación y Asuntos Internacionales"/>
          <xsd:enumeration value="Oficina de Tecnología"/>
          <xsd:enumeration value="Oficina de Innovación Educativa con uso de Nuevas Tecnologías"/>
          <xsd:enumeration value="PNSE"/>
          <xsd:enumeration value="Saneamiento Contable"/>
          <xsd:enumeration value="Secretaría General"/>
          <xsd:enumeration value="Secretaría Privada"/>
          <xsd:enumeration value="Subdirección de Apoyo a la gestión de las IES"/>
          <xsd:enumeration value="Subdirección de Aseguramiento de Calidad"/>
          <xsd:enumeration value="Subdirección de Estándares y Evaluación"/>
          <xsd:enumeration value="Subdirección de Acceso"/>
          <xsd:enumeration value="Subdirección de Desarrollo Organizacional"/>
          <xsd:enumeration value="Subdirección de Desarrollo Sectorial"/>
          <xsd:enumeration value="Subdirección de Talento Humano"/>
          <xsd:enumeration value="Subdirección de Articulación Educativa e Intersectorial"/>
          <xsd:enumeration value="Subdirección de Fortalecimiento a las SE"/>
          <xsd:enumeration value="Subdirección de Contratación y Gestión Administrativa"/>
          <xsd:enumeration value="Subdirección de Gestión Financiera"/>
          <xsd:enumeration value="Subdirección de Mejoramiento"/>
          <xsd:enumeration value="Subdirección de Permanencia"/>
          <xsd:enumeration value="Subdirección de Monitoreo y Control"/>
          <xsd:enumeration value="Subdirección de Inspección y Vigilancia"/>
          <xsd:enumeration value="Subdirección de Recursos Humanos Sector Educación"/>
          <xsd:enumeration value="Grupo de Tesorería"/>
          <xsd:enumeration value="Viceministerio de Educación Básica"/>
          <xsd:enumeration value="Viceministerio de Educación Superior"/>
          <xsd:enumeration value="CNA"/>
          <xsd:enumeration value="CONACES"/>
        </xsd:restriction>
      </xsd:simpleType>
    </xsd:element>
    <xsd:element name="Fecha_x0020_de_x0020_emisi_x00f3_n_x0020_inicial" ma:index="13" nillable="true" ma:displayName="Fecha de emisión inicial" ma:format="DateOnly" ma:internalName="Fecha_x0020_de_x0020_emisi_x00f3_n_x0020_inicial">
      <xsd:simpleType>
        <xsd:restriction base="dms:DateTime"/>
      </xsd:simpleType>
    </xsd:element>
    <xsd:element name="Fecha_x0020_de_x0020_emisi_x00f3_n_x0020_versi_x00f3_n_x0020_vigente" ma:index="14" nillable="true" ma:displayName="Fecha de emisión versión vigente" ma:format="DateOnly" ma:internalName="Fecha_x0020_de_x0020_emisi_x00f3_n_x0020_versi_x00f3_n_x0020_vigente">
      <xsd:simpleType>
        <xsd:restriction base="dms:DateTime"/>
      </xsd:simpleType>
    </xsd:element>
    <xsd:element name="Vigencia" ma:index="15" nillable="true" ma:displayName="Vigencia" ma:default="Vigente" ma:format="Dropdown" ma:internalName="Vigencia">
      <xsd:simpleType>
        <xsd:restriction base="dms:Choice">
          <xsd:enumeration value="Vigente"/>
          <xsd:enumeration value="Obsolet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Tipo de contenido" ma:readOnly="true"/>
        <xsd:element ref="dc:title" minOccurs="0" maxOccurs="1" ma:index="2"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92F8411-93EC-4201-A614-F2C25C7AFA34}">
  <ds:schemaRefs>
    <ds:schemaRef ds:uri="http://www.w3.org/XML/1998/namespace"/>
    <ds:schemaRef ds:uri="bbb1532b-ab18-4e7b-be3e-fa8e2303545f"/>
    <ds:schemaRef ds:uri="http://schemas.microsoft.com/office/2006/documentManagement/types"/>
    <ds:schemaRef ds:uri="http://purl.org/dc/terms/"/>
    <ds:schemaRef ds:uri="http://purl.org/dc/elements/1.1/"/>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68EC93F-96BC-4E96-B8A1-AAD8EA1E2B41}">
  <ds:schemaRefs>
    <ds:schemaRef ds:uri="http://schemas.microsoft.com/sharepoint/v3/contenttype/forms"/>
  </ds:schemaRefs>
</ds:datastoreItem>
</file>

<file path=customXml/itemProps3.xml><?xml version="1.0" encoding="utf-8"?>
<ds:datastoreItem xmlns:ds="http://schemas.openxmlformats.org/officeDocument/2006/customXml" ds:itemID="{46F8724F-3453-4DED-9E14-33DA62744998}">
  <ds:schemaRefs>
    <ds:schemaRef ds:uri="http://schemas.microsoft.com/office/2006/metadata/contentType"/>
    <ds:schemaRef ds:uri="http://schemas.microsoft.com/office/2006/metadata/properties/metaAttributes"/>
    <ds:schemaRef ds:uri="http://www.w3.org/2000/xmlns/"/>
    <ds:schemaRef ds:uri="http://www.w3.org/2001/XMLSchema"/>
    <ds:schemaRef ds:uri="bbb1532b-ab18-4e7b-be3e-fa8e2303545f"/>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PORCENTAJE CUMPLIMIENTO EAV</vt:lpstr>
      <vt:lpstr>TALENTO HUMANO</vt:lpstr>
      <vt:lpstr>DIRECCIONAMIENTO ESTRATEGICO</vt:lpstr>
      <vt:lpstr>VALORES PARA RESULTADOS</vt:lpstr>
      <vt:lpstr>EVALUACIÓN DE RESULTADOS</vt:lpstr>
      <vt:lpstr>INFORMACIÓN Y COMUNICACIÓN</vt:lpstr>
      <vt:lpstr>GESTIÓN DEL CONOCIMIENTO</vt:lpstr>
      <vt:lpstr>CONTROL INTERNO</vt:lpstr>
      <vt:lpstr>Categorías</vt:lpstr>
      <vt:lpstr>'INFORMACIÓN Y COMUNICACIÓN'!Área_de_impresión</vt:lpstr>
    </vt:vector>
  </TitlesOfParts>
  <Company>Camara de comercio de cartagena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apina</dc:creator>
  <cp:lastModifiedBy>Carolina Moreno Lopez</cp:lastModifiedBy>
  <cp:lastPrinted>2017-10-26T15:22:21Z</cp:lastPrinted>
  <dcterms:created xsi:type="dcterms:W3CDTF">2008-08-05T17:06:18Z</dcterms:created>
  <dcterms:modified xsi:type="dcterms:W3CDTF">2019-01-28T16:45:33Z</dcterms:modified>
</cp:coreProperties>
</file>