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defaultThemeVersion="124226"/>
  <mc:AlternateContent xmlns:mc="http://schemas.openxmlformats.org/markup-compatibility/2006">
    <mc:Choice Requires="x15">
      <x15ac:absPath xmlns:x15ac="http://schemas.microsoft.com/office/spreadsheetml/2010/11/ac" url="C:\Users\Usuario\Desktop\INFOTEP 2023\contrato 2\mes 6\"/>
    </mc:Choice>
  </mc:AlternateContent>
  <xr:revisionPtr revIDLastSave="0" documentId="13_ncr:1_{537737DA-85F0-457C-9C4A-BBD026244A2F}" xr6:coauthVersionLast="47" xr6:coauthVersionMax="47" xr10:uidLastSave="{00000000-0000-0000-0000-000000000000}"/>
  <bookViews>
    <workbookView xWindow="-120" yWindow="-120" windowWidth="20730" windowHeight="11160" firstSheet="11" activeTab="14" xr2:uid="{00000000-000D-0000-FFFF-FFFF00000000}"/>
  </bookViews>
  <sheets>
    <sheet name="Intructivo" sheetId="20" r:id="rId1"/>
    <sheet name="direccionamiento" sheetId="22" r:id="rId2"/>
    <sheet name="academico" sheetId="1" r:id="rId3"/>
    <sheet name="TH" sheetId="23" r:id="rId4"/>
    <sheet name="bienestar" sheetId="24" r:id="rId5"/>
    <sheet name="legal administrativa" sheetId="25" r:id="rId6"/>
    <sheet name="extension" sheetId="29" r:id="rId7"/>
    <sheet name="interna-bilinguismo" sheetId="33" r:id="rId8"/>
    <sheet name="investigacion" sheetId="26" r:id="rId9"/>
    <sheet name="gestion tecnologica" sheetId="30" r:id="rId10"/>
    <sheet name="comunicaciones y mercadeo" sheetId="27" r:id="rId11"/>
    <sheet name="gestion documental" sheetId="32" r:id="rId12"/>
    <sheet name="servicio al ciudadano" sheetId="31" r:id="rId13"/>
    <sheet name="SIAC" sheetId="34" r:id="rId14"/>
    <sheet name="control y evaluacion integral" sheetId="28" r:id="rId15"/>
    <sheet name="Matriz Calor Inherente" sheetId="18" r:id="rId16"/>
    <sheet name="Matriz Calor Residual" sheetId="19" r:id="rId17"/>
    <sheet name="Tabla probabilidad" sheetId="12" r:id="rId18"/>
    <sheet name="Tabla Impacto" sheetId="13" r:id="rId19"/>
    <sheet name="Tabla Valoración controles" sheetId="15" r:id="rId20"/>
    <sheet name="Opciones Tratamiento" sheetId="16" state="hidden" r:id="rId21"/>
    <sheet name="Hoja1" sheetId="11" state="hidden" r:id="rId22"/>
  </sheets>
  <externalReferences>
    <externalReference r:id="rId23"/>
  </externalReferences>
  <calcPr calcId="191029"/>
  <pivotCaches>
    <pivotCache cacheId="0" r:id="rId24"/>
  </pivotCaches>
</workbook>
</file>

<file path=xl/calcChain.xml><?xml version="1.0" encoding="utf-8"?>
<calcChain xmlns="http://schemas.openxmlformats.org/spreadsheetml/2006/main">
  <c r="T14" i="25" l="1"/>
  <c r="Q14" i="25"/>
  <c r="H14" i="25"/>
  <c r="I14" i="25" l="1"/>
  <c r="X14" i="25" s="1"/>
  <c r="Z14" i="25" l="1"/>
  <c r="Y14" i="25"/>
  <c r="K14" i="25" l="1"/>
  <c r="L14" i="25" s="1"/>
  <c r="N14" i="25" s="1"/>
  <c r="M14" i="25" l="1"/>
  <c r="AB14" i="25" s="1"/>
  <c r="AA14" i="25" s="1"/>
  <c r="AC14" i="25" s="1"/>
  <c r="AB69" i="34" l="1"/>
  <c r="AA69" i="34" s="1"/>
  <c r="T69" i="34"/>
  <c r="Q69" i="34"/>
  <c r="K69" i="34"/>
  <c r="X68" i="34"/>
  <c r="Z68" i="34" s="1"/>
  <c r="T68" i="34"/>
  <c r="Q68" i="34"/>
  <c r="X69" i="34" s="1"/>
  <c r="K68" i="34"/>
  <c r="T67" i="34"/>
  <c r="Q67" i="34"/>
  <c r="AB68" i="34" s="1"/>
  <c r="AA68" i="34" s="1"/>
  <c r="K67" i="34"/>
  <c r="T66" i="34"/>
  <c r="Q66" i="34"/>
  <c r="X67" i="34" s="1"/>
  <c r="K66" i="34"/>
  <c r="X65" i="34"/>
  <c r="Y65" i="34" s="1"/>
  <c r="T65" i="34"/>
  <c r="Q65" i="34"/>
  <c r="X66" i="34" s="1"/>
  <c r="K65" i="34"/>
  <c r="AB64" i="34"/>
  <c r="AA64" i="34" s="1"/>
  <c r="Y64" i="34"/>
  <c r="AC64" i="34" s="1"/>
  <c r="X64" i="34"/>
  <c r="Z64" i="34" s="1"/>
  <c r="T64" i="34"/>
  <c r="Q64" i="34"/>
  <c r="AB65" i="34" s="1"/>
  <c r="AA65" i="34" s="1"/>
  <c r="I64" i="34"/>
  <c r="H64" i="34"/>
  <c r="T63" i="34"/>
  <c r="Q63" i="34"/>
  <c r="K63" i="34"/>
  <c r="X62" i="34"/>
  <c r="Y62" i="34" s="1"/>
  <c r="T62" i="34"/>
  <c r="Q62" i="34"/>
  <c r="X63" i="34" s="1"/>
  <c r="K62" i="34"/>
  <c r="AB61" i="34"/>
  <c r="AA61" i="34" s="1"/>
  <c r="Z61" i="34"/>
  <c r="Y61" i="34"/>
  <c r="X61" i="34"/>
  <c r="T61" i="34"/>
  <c r="Q61" i="34"/>
  <c r="AB62" i="34" s="1"/>
  <c r="AA62" i="34" s="1"/>
  <c r="K61" i="34"/>
  <c r="T60" i="34"/>
  <c r="Q60" i="34"/>
  <c r="K60" i="34"/>
  <c r="T59" i="34"/>
  <c r="Q59" i="34"/>
  <c r="AB59" i="34" s="1"/>
  <c r="AA59" i="34" s="1"/>
  <c r="K59" i="34"/>
  <c r="AB58" i="34"/>
  <c r="AA58" i="34" s="1"/>
  <c r="AC58" i="34" s="1"/>
  <c r="Z58" i="34"/>
  <c r="Y58" i="34"/>
  <c r="X58" i="34"/>
  <c r="T58" i="34"/>
  <c r="Q58" i="34"/>
  <c r="I58" i="34"/>
  <c r="H58" i="34"/>
  <c r="T57" i="34"/>
  <c r="Q57" i="34"/>
  <c r="K57" i="34"/>
  <c r="T56" i="34"/>
  <c r="Q56" i="34"/>
  <c r="AB56" i="34" s="1"/>
  <c r="AA56" i="34" s="1"/>
  <c r="K56" i="34"/>
  <c r="AB55" i="34"/>
  <c r="AA55" i="34" s="1"/>
  <c r="T55" i="34"/>
  <c r="Q55" i="34"/>
  <c r="K55" i="34"/>
  <c r="X54" i="34"/>
  <c r="Z54" i="34" s="1"/>
  <c r="T54" i="34"/>
  <c r="Q54" i="34"/>
  <c r="X55" i="34" s="1"/>
  <c r="K54" i="34"/>
  <c r="T53" i="34"/>
  <c r="Q53" i="34"/>
  <c r="AB54" i="34" s="1"/>
  <c r="AA54" i="34" s="1"/>
  <c r="K53" i="34"/>
  <c r="Z52" i="34"/>
  <c r="X52" i="34"/>
  <c r="Y52" i="34" s="1"/>
  <c r="AC52" i="34" s="1"/>
  <c r="T52" i="34"/>
  <c r="Q52" i="34"/>
  <c r="AB52" i="34" s="1"/>
  <c r="AA52" i="34" s="1"/>
  <c r="H52" i="34"/>
  <c r="I52" i="34" s="1"/>
  <c r="X51" i="34"/>
  <c r="Z51" i="34" s="1"/>
  <c r="T51" i="34"/>
  <c r="Q51" i="34"/>
  <c r="K51" i="34"/>
  <c r="T50" i="34"/>
  <c r="Q50" i="34"/>
  <c r="AB51" i="34" s="1"/>
  <c r="AA51" i="34" s="1"/>
  <c r="K50" i="34"/>
  <c r="T49" i="34"/>
  <c r="Q49" i="34"/>
  <c r="X50" i="34" s="1"/>
  <c r="K49" i="34"/>
  <c r="X48" i="34"/>
  <c r="Y48" i="34" s="1"/>
  <c r="T48" i="34"/>
  <c r="Q48" i="34"/>
  <c r="X49" i="34" s="1"/>
  <c r="K48" i="34"/>
  <c r="AB47" i="34"/>
  <c r="AA47" i="34" s="1"/>
  <c r="Z47" i="34"/>
  <c r="Y47" i="34"/>
  <c r="AC47" i="34" s="1"/>
  <c r="X47" i="34"/>
  <c r="T47" i="34"/>
  <c r="Q47" i="34"/>
  <c r="AB48" i="34" s="1"/>
  <c r="AA48" i="34" s="1"/>
  <c r="K47" i="34"/>
  <c r="Z46" i="34"/>
  <c r="X46" i="34"/>
  <c r="Y46" i="34" s="1"/>
  <c r="T46" i="34"/>
  <c r="Q46" i="34"/>
  <c r="AB46" i="34" s="1"/>
  <c r="AA46" i="34" s="1"/>
  <c r="H46" i="34"/>
  <c r="I46" i="34" s="1"/>
  <c r="X45" i="34"/>
  <c r="Y45" i="34" s="1"/>
  <c r="T45" i="34"/>
  <c r="Q45" i="34"/>
  <c r="K45" i="34"/>
  <c r="AB44" i="34"/>
  <c r="AA44" i="34" s="1"/>
  <c r="Y44" i="34"/>
  <c r="X44" i="34"/>
  <c r="Z44" i="34" s="1"/>
  <c r="T44" i="34"/>
  <c r="Q44" i="34"/>
  <c r="AB45" i="34" s="1"/>
  <c r="AA45" i="34" s="1"/>
  <c r="K44" i="34"/>
  <c r="T43" i="34"/>
  <c r="Q43" i="34"/>
  <c r="K43" i="34"/>
  <c r="T42" i="34"/>
  <c r="Q42" i="34"/>
  <c r="AB42" i="34" s="1"/>
  <c r="AA42" i="34" s="1"/>
  <c r="K42" i="34"/>
  <c r="AB41" i="34"/>
  <c r="AA41" i="34" s="1"/>
  <c r="T41" i="34"/>
  <c r="Q41" i="34"/>
  <c r="K41" i="34"/>
  <c r="X40" i="34"/>
  <c r="Z40" i="34" s="1"/>
  <c r="T40" i="34"/>
  <c r="Q40" i="34"/>
  <c r="AB40" i="34" s="1"/>
  <c r="AA40" i="34" s="1"/>
  <c r="H40" i="34"/>
  <c r="T39" i="34"/>
  <c r="Q39" i="34"/>
  <c r="AB39" i="34" s="1"/>
  <c r="AA39" i="34" s="1"/>
  <c r="K39" i="34"/>
  <c r="AB38" i="34"/>
  <c r="AA38" i="34" s="1"/>
  <c r="T38" i="34"/>
  <c r="Q38" i="34"/>
  <c r="K38" i="34"/>
  <c r="X37" i="34"/>
  <c r="Z37" i="34" s="1"/>
  <c r="T37" i="34"/>
  <c r="Q37" i="34"/>
  <c r="X38" i="34" s="1"/>
  <c r="K37" i="34"/>
  <c r="T36" i="34"/>
  <c r="Q36" i="34"/>
  <c r="AB37" i="34" s="1"/>
  <c r="AA37" i="34" s="1"/>
  <c r="K36" i="34"/>
  <c r="T35" i="34"/>
  <c r="Q35" i="34"/>
  <c r="X36" i="34" s="1"/>
  <c r="K35" i="34"/>
  <c r="X34" i="34"/>
  <c r="Y34" i="34" s="1"/>
  <c r="T34" i="34"/>
  <c r="Q34" i="34"/>
  <c r="X35" i="34" s="1"/>
  <c r="H34" i="34"/>
  <c r="I34" i="34" s="1"/>
  <c r="T33" i="34"/>
  <c r="Q33" i="34"/>
  <c r="AB33" i="34" s="1"/>
  <c r="AA33" i="34" s="1"/>
  <c r="K33" i="34"/>
  <c r="T32" i="34"/>
  <c r="Q32" i="34"/>
  <c r="X33" i="34" s="1"/>
  <c r="K32" i="34"/>
  <c r="X31" i="34"/>
  <c r="Y31" i="34" s="1"/>
  <c r="T31" i="34"/>
  <c r="Q31" i="34"/>
  <c r="X32" i="34" s="1"/>
  <c r="K31" i="34"/>
  <c r="AB30" i="34"/>
  <c r="AA30" i="34" s="1"/>
  <c r="Y30" i="34"/>
  <c r="AC30" i="34" s="1"/>
  <c r="X30" i="34"/>
  <c r="Z30" i="34" s="1"/>
  <c r="T30" i="34"/>
  <c r="Q30" i="34"/>
  <c r="AB31" i="34" s="1"/>
  <c r="AA31" i="34" s="1"/>
  <c r="K30" i="34"/>
  <c r="T29" i="34"/>
  <c r="Q29" i="34"/>
  <c r="K29" i="34"/>
  <c r="T28" i="34"/>
  <c r="Q28" i="34"/>
  <c r="AB28" i="34" s="1"/>
  <c r="AA28" i="34" s="1"/>
  <c r="I28" i="34"/>
  <c r="H28" i="34"/>
  <c r="AB27" i="34"/>
  <c r="AA27" i="34" s="1"/>
  <c r="Y27" i="34"/>
  <c r="X27" i="34"/>
  <c r="Z27" i="34" s="1"/>
  <c r="T27" i="34"/>
  <c r="Q27" i="34"/>
  <c r="K27" i="34"/>
  <c r="T26" i="34"/>
  <c r="Q26" i="34"/>
  <c r="K26" i="34"/>
  <c r="T25" i="34"/>
  <c r="Q25" i="34"/>
  <c r="AB25" i="34" s="1"/>
  <c r="AA25" i="34" s="1"/>
  <c r="K25" i="34"/>
  <c r="AB24" i="34"/>
  <c r="AA24" i="34" s="1"/>
  <c r="T24" i="34"/>
  <c r="Q24" i="34"/>
  <c r="K24" i="34"/>
  <c r="X23" i="34"/>
  <c r="Z23" i="34" s="1"/>
  <c r="T23" i="34"/>
  <c r="Q23" i="34"/>
  <c r="X24" i="34" s="1"/>
  <c r="K23" i="34"/>
  <c r="T22" i="34"/>
  <c r="Q22" i="34"/>
  <c r="AB23" i="34" s="1"/>
  <c r="AA23" i="34" s="1"/>
  <c r="I22" i="34"/>
  <c r="H22" i="34"/>
  <c r="AB21" i="34"/>
  <c r="AA21" i="34" s="1"/>
  <c r="T21" i="34"/>
  <c r="Q21" i="34"/>
  <c r="K21" i="34"/>
  <c r="X20" i="34"/>
  <c r="Z20" i="34" s="1"/>
  <c r="T20" i="34"/>
  <c r="Q20" i="34"/>
  <c r="X21" i="34" s="1"/>
  <c r="K20" i="34"/>
  <c r="T19" i="34"/>
  <c r="Q19" i="34"/>
  <c r="AB20" i="34" s="1"/>
  <c r="AA20" i="34" s="1"/>
  <c r="K19" i="34"/>
  <c r="T18" i="34"/>
  <c r="Q18" i="34"/>
  <c r="X19" i="34" s="1"/>
  <c r="K18" i="34"/>
  <c r="X17" i="34"/>
  <c r="Y17" i="34" s="1"/>
  <c r="T17" i="34"/>
  <c r="Q17" i="34"/>
  <c r="X18" i="34" s="1"/>
  <c r="K17" i="34"/>
  <c r="AB16" i="34"/>
  <c r="AA16" i="34" s="1"/>
  <c r="Y16" i="34"/>
  <c r="X16" i="34"/>
  <c r="Z16" i="34" s="1"/>
  <c r="T16" i="34"/>
  <c r="Q16" i="34"/>
  <c r="I16" i="34"/>
  <c r="H16" i="34"/>
  <c r="T15" i="34"/>
  <c r="Q15" i="34"/>
  <c r="K15" i="34"/>
  <c r="X14" i="34"/>
  <c r="Y14" i="34" s="1"/>
  <c r="T14" i="34"/>
  <c r="Q14" i="34"/>
  <c r="X15" i="34" s="1"/>
  <c r="K14" i="34"/>
  <c r="T13" i="34"/>
  <c r="Q13" i="34"/>
  <c r="K13" i="34"/>
  <c r="T12" i="34"/>
  <c r="Q12" i="34"/>
  <c r="AB13" i="34" s="1"/>
  <c r="AA13" i="34" s="1"/>
  <c r="K12" i="34"/>
  <c r="T11" i="34"/>
  <c r="Q11" i="34"/>
  <c r="K11" i="34"/>
  <c r="T10" i="34"/>
  <c r="Q10" i="34"/>
  <c r="H10" i="34"/>
  <c r="T68" i="33"/>
  <c r="Q68" i="33"/>
  <c r="K68" i="33"/>
  <c r="X67" i="33"/>
  <c r="Z67" i="33" s="1"/>
  <c r="T67" i="33"/>
  <c r="Q67" i="33"/>
  <c r="K67" i="33"/>
  <c r="T66" i="33"/>
  <c r="Q66" i="33"/>
  <c r="AB67" i="33" s="1"/>
  <c r="AA67" i="33" s="1"/>
  <c r="K66" i="33"/>
  <c r="T65" i="33"/>
  <c r="Q65" i="33"/>
  <c r="X65" i="33" s="1"/>
  <c r="K65" i="33"/>
  <c r="T64" i="33"/>
  <c r="Q64" i="33"/>
  <c r="K64" i="33"/>
  <c r="T63" i="33"/>
  <c r="Q63" i="33"/>
  <c r="AB64" i="33" s="1"/>
  <c r="AA64" i="33" s="1"/>
  <c r="H63" i="33"/>
  <c r="I63" i="33" s="1"/>
  <c r="T62" i="33"/>
  <c r="Q62" i="33"/>
  <c r="X62" i="33" s="1"/>
  <c r="K62" i="33"/>
  <c r="T61" i="33"/>
  <c r="Q61" i="33"/>
  <c r="K61" i="33"/>
  <c r="T60" i="33"/>
  <c r="Q60" i="33"/>
  <c r="AB61" i="33" s="1"/>
  <c r="AA61" i="33" s="1"/>
  <c r="K60" i="33"/>
  <c r="T59" i="33"/>
  <c r="Q59" i="33"/>
  <c r="AB60" i="33" s="1"/>
  <c r="AA60" i="33" s="1"/>
  <c r="K59" i="33"/>
  <c r="T58" i="33"/>
  <c r="Q58" i="33"/>
  <c r="K58" i="33"/>
  <c r="T57" i="33"/>
  <c r="Q57" i="33"/>
  <c r="H57" i="33"/>
  <c r="I57" i="33" s="1"/>
  <c r="T56" i="33"/>
  <c r="Q56" i="33"/>
  <c r="K56" i="33"/>
  <c r="T55" i="33"/>
  <c r="Q55" i="33"/>
  <c r="AB56" i="33" s="1"/>
  <c r="AA56" i="33" s="1"/>
  <c r="K55" i="33"/>
  <c r="T54" i="33"/>
  <c r="Q54" i="33"/>
  <c r="K54" i="33"/>
  <c r="X53" i="33"/>
  <c r="Z53" i="33" s="1"/>
  <c r="T53" i="33"/>
  <c r="Q53" i="33"/>
  <c r="X54" i="33" s="1"/>
  <c r="K53" i="33"/>
  <c r="T52" i="33"/>
  <c r="Q52" i="33"/>
  <c r="K52" i="33"/>
  <c r="T51" i="33"/>
  <c r="Q51" i="33"/>
  <c r="X51" i="33" s="1"/>
  <c r="H51" i="33"/>
  <c r="I51" i="33" s="1"/>
  <c r="X50" i="33"/>
  <c r="Z50" i="33" s="1"/>
  <c r="T50" i="33"/>
  <c r="Q50" i="33"/>
  <c r="K50" i="33"/>
  <c r="T49" i="33"/>
  <c r="Q49" i="33"/>
  <c r="AB50" i="33" s="1"/>
  <c r="AA50" i="33" s="1"/>
  <c r="K49" i="33"/>
  <c r="T48" i="33"/>
  <c r="Q48" i="33"/>
  <c r="X48" i="33" s="1"/>
  <c r="K48" i="33"/>
  <c r="T47" i="33"/>
  <c r="Q47" i="33"/>
  <c r="K47" i="33"/>
  <c r="T46" i="33"/>
  <c r="Q46" i="33"/>
  <c r="AB47" i="33" s="1"/>
  <c r="AA47" i="33" s="1"/>
  <c r="K46" i="33"/>
  <c r="T45" i="33"/>
  <c r="Q45" i="33"/>
  <c r="AB45" i="33" s="1"/>
  <c r="AA45" i="33" s="1"/>
  <c r="I45" i="33"/>
  <c r="H45" i="33"/>
  <c r="T44" i="33"/>
  <c r="Q44" i="33"/>
  <c r="K44" i="33"/>
  <c r="T43" i="33"/>
  <c r="Q43" i="33"/>
  <c r="AB44" i="33" s="1"/>
  <c r="AA44" i="33" s="1"/>
  <c r="K43" i="33"/>
  <c r="T42" i="33"/>
  <c r="Q42" i="33"/>
  <c r="X43" i="33" s="1"/>
  <c r="K42" i="33"/>
  <c r="T41" i="33"/>
  <c r="Q41" i="33"/>
  <c r="AB42" i="33" s="1"/>
  <c r="AA42" i="33" s="1"/>
  <c r="K41" i="33"/>
  <c r="T40" i="33"/>
  <c r="Q40" i="33"/>
  <c r="K40" i="33"/>
  <c r="AB39" i="33"/>
  <c r="AA39" i="33" s="1"/>
  <c r="T39" i="33"/>
  <c r="Q39" i="33"/>
  <c r="X40" i="33" s="1"/>
  <c r="H39" i="33"/>
  <c r="T38" i="33"/>
  <c r="Q38" i="33"/>
  <c r="K38" i="33"/>
  <c r="T37" i="33"/>
  <c r="Q37" i="33"/>
  <c r="AB38" i="33" s="1"/>
  <c r="AA38" i="33" s="1"/>
  <c r="K37" i="33"/>
  <c r="X36" i="33"/>
  <c r="Z36" i="33" s="1"/>
  <c r="T36" i="33"/>
  <c r="Q36" i="33"/>
  <c r="K36" i="33"/>
  <c r="T35" i="33"/>
  <c r="Q35" i="33"/>
  <c r="AB36" i="33" s="1"/>
  <c r="AA36" i="33" s="1"/>
  <c r="K35" i="33"/>
  <c r="T34" i="33"/>
  <c r="Q34" i="33"/>
  <c r="X34" i="33" s="1"/>
  <c r="K34" i="33"/>
  <c r="X33" i="33"/>
  <c r="Y33" i="33" s="1"/>
  <c r="T33" i="33"/>
  <c r="Q33" i="33"/>
  <c r="AB33" i="33" s="1"/>
  <c r="AA33" i="33" s="1"/>
  <c r="H33" i="33"/>
  <c r="I33" i="33" s="1"/>
  <c r="T32" i="33"/>
  <c r="Q32" i="33"/>
  <c r="K32" i="33"/>
  <c r="T31" i="33"/>
  <c r="Q31" i="33"/>
  <c r="X31" i="33" s="1"/>
  <c r="K31" i="33"/>
  <c r="T30" i="33"/>
  <c r="Q30" i="33"/>
  <c r="K30" i="33"/>
  <c r="T29" i="33"/>
  <c r="Q29" i="33"/>
  <c r="AB30" i="33" s="1"/>
  <c r="AA30" i="33" s="1"/>
  <c r="K29" i="33"/>
  <c r="T28" i="33"/>
  <c r="Q28" i="33"/>
  <c r="X29" i="33" s="1"/>
  <c r="K28" i="33"/>
  <c r="T27" i="33"/>
  <c r="Q27" i="33"/>
  <c r="AB27" i="33" s="1"/>
  <c r="AA27" i="33" s="1"/>
  <c r="H27" i="33"/>
  <c r="I27" i="33" s="1"/>
  <c r="X26" i="33"/>
  <c r="Z26" i="33" s="1"/>
  <c r="T26" i="33"/>
  <c r="Q26" i="33"/>
  <c r="K26" i="33"/>
  <c r="T25" i="33"/>
  <c r="Q25" i="33"/>
  <c r="AB26" i="33" s="1"/>
  <c r="AA26" i="33" s="1"/>
  <c r="K25" i="33"/>
  <c r="T24" i="33"/>
  <c r="Q24" i="33"/>
  <c r="X25" i="33" s="1"/>
  <c r="K24" i="33"/>
  <c r="T23" i="33"/>
  <c r="Q23" i="33"/>
  <c r="K23" i="33"/>
  <c r="T22" i="33"/>
  <c r="Q22" i="33"/>
  <c r="K22" i="33"/>
  <c r="T21" i="33"/>
  <c r="Q21" i="33"/>
  <c r="AB22" i="33" s="1"/>
  <c r="AA22" i="33" s="1"/>
  <c r="H21" i="33"/>
  <c r="T20" i="33"/>
  <c r="Q20" i="33"/>
  <c r="K20" i="33"/>
  <c r="X19" i="33"/>
  <c r="Z19" i="33" s="1"/>
  <c r="T19" i="33"/>
  <c r="Q19" i="33"/>
  <c r="X20" i="33" s="1"/>
  <c r="K19" i="33"/>
  <c r="X18" i="33"/>
  <c r="Z18" i="33" s="1"/>
  <c r="T18" i="33"/>
  <c r="Q18" i="33"/>
  <c r="K18" i="33"/>
  <c r="T17" i="33"/>
  <c r="Q17" i="33"/>
  <c r="X17" i="33" s="1"/>
  <c r="K17" i="33"/>
  <c r="X16" i="33"/>
  <c r="Y16" i="33" s="1"/>
  <c r="T16" i="33"/>
  <c r="Q16" i="33"/>
  <c r="K16" i="33"/>
  <c r="T15" i="33"/>
  <c r="X15" i="33" s="1"/>
  <c r="Z15" i="33" s="1"/>
  <c r="Q15" i="33"/>
  <c r="AB16" i="33" s="1"/>
  <c r="AA16" i="33" s="1"/>
  <c r="H15" i="33"/>
  <c r="I15" i="33" s="1"/>
  <c r="T14" i="33"/>
  <c r="Q14" i="33"/>
  <c r="X14" i="33" s="1"/>
  <c r="K14" i="33"/>
  <c r="X13" i="33"/>
  <c r="Y13" i="33" s="1"/>
  <c r="T13" i="33"/>
  <c r="Q13" i="33"/>
  <c r="K13" i="33"/>
  <c r="AB12" i="33"/>
  <c r="AA12" i="33" s="1"/>
  <c r="X12" i="33"/>
  <c r="Z12" i="33" s="1"/>
  <c r="T12" i="33"/>
  <c r="Q12" i="33"/>
  <c r="AB13" i="33" s="1"/>
  <c r="AA13" i="33" s="1"/>
  <c r="K12" i="33"/>
  <c r="T11" i="33"/>
  <c r="Q11" i="33"/>
  <c r="K11" i="33"/>
  <c r="T10" i="33"/>
  <c r="Q10" i="33"/>
  <c r="H10" i="33"/>
  <c r="I10" i="33" s="1"/>
  <c r="T69" i="32"/>
  <c r="Q69" i="32"/>
  <c r="K69" i="32"/>
  <c r="X68" i="32"/>
  <c r="Z68" i="32" s="1"/>
  <c r="T68" i="32"/>
  <c r="Q68" i="32"/>
  <c r="AB69" i="32" s="1"/>
  <c r="AA69" i="32" s="1"/>
  <c r="K68" i="32"/>
  <c r="Y67" i="32"/>
  <c r="AC67" i="32" s="1"/>
  <c r="X67" i="32"/>
  <c r="Z67" i="32" s="1"/>
  <c r="T67" i="32"/>
  <c r="Q67" i="32"/>
  <c r="AB68" i="32" s="1"/>
  <c r="AA68" i="32" s="1"/>
  <c r="K67" i="32"/>
  <c r="Z66" i="32"/>
  <c r="Y66" i="32"/>
  <c r="AC66" i="32" s="1"/>
  <c r="X66" i="32"/>
  <c r="T66" i="32"/>
  <c r="Q66" i="32"/>
  <c r="AB67" i="32" s="1"/>
  <c r="AA67" i="32" s="1"/>
  <c r="K66" i="32"/>
  <c r="Z65" i="32"/>
  <c r="Y65" i="32"/>
  <c r="X65" i="32"/>
  <c r="T65" i="32"/>
  <c r="Q65" i="32"/>
  <c r="AB66" i="32" s="1"/>
  <c r="AA66" i="32" s="1"/>
  <c r="K65" i="32"/>
  <c r="AB64" i="32"/>
  <c r="AA64" i="32" s="1"/>
  <c r="Z64" i="32"/>
  <c r="Y64" i="32"/>
  <c r="X64" i="32"/>
  <c r="T64" i="32"/>
  <c r="Q64" i="32"/>
  <c r="AB65" i="32" s="1"/>
  <c r="AA65" i="32" s="1"/>
  <c r="I64" i="32"/>
  <c r="H64" i="32"/>
  <c r="Z63" i="32"/>
  <c r="Y63" i="32"/>
  <c r="AC63" i="32" s="1"/>
  <c r="X63" i="32"/>
  <c r="T63" i="32"/>
  <c r="Q63" i="32"/>
  <c r="K63" i="32"/>
  <c r="Z62" i="32"/>
  <c r="Y62" i="32"/>
  <c r="AC62" i="32" s="1"/>
  <c r="X62" i="32"/>
  <c r="T62" i="32"/>
  <c r="Q62" i="32"/>
  <c r="AB63" i="32" s="1"/>
  <c r="AA63" i="32" s="1"/>
  <c r="K62" i="32"/>
  <c r="AB61" i="32"/>
  <c r="AA61" i="32" s="1"/>
  <c r="Z61" i="32"/>
  <c r="Y61" i="32"/>
  <c r="AC61" i="32" s="1"/>
  <c r="X61" i="32"/>
  <c r="T61" i="32"/>
  <c r="Q61" i="32"/>
  <c r="AB62" i="32" s="1"/>
  <c r="AA62" i="32" s="1"/>
  <c r="K61" i="32"/>
  <c r="T60" i="32"/>
  <c r="Q60" i="32"/>
  <c r="K60" i="32"/>
  <c r="T59" i="32"/>
  <c r="Q59" i="32"/>
  <c r="X60" i="32" s="1"/>
  <c r="K59" i="32"/>
  <c r="T58" i="32"/>
  <c r="Q58" i="32"/>
  <c r="AB59" i="32" s="1"/>
  <c r="AA59" i="32" s="1"/>
  <c r="I58" i="32"/>
  <c r="H58" i="32"/>
  <c r="T57" i="32"/>
  <c r="Q57" i="32"/>
  <c r="K57" i="32"/>
  <c r="T56" i="32"/>
  <c r="Q56" i="32"/>
  <c r="X57" i="32" s="1"/>
  <c r="K56" i="32"/>
  <c r="T55" i="32"/>
  <c r="Q55" i="32"/>
  <c r="AB56" i="32" s="1"/>
  <c r="AA56" i="32" s="1"/>
  <c r="K55" i="32"/>
  <c r="X54" i="32"/>
  <c r="Z54" i="32" s="1"/>
  <c r="T54" i="32"/>
  <c r="Q54" i="32"/>
  <c r="AB55" i="32" s="1"/>
  <c r="AA55" i="32" s="1"/>
  <c r="K54" i="32"/>
  <c r="AB53" i="32"/>
  <c r="AA53" i="32" s="1"/>
  <c r="Y53" i="32"/>
  <c r="AC53" i="32" s="1"/>
  <c r="X53" i="32"/>
  <c r="Z53" i="32" s="1"/>
  <c r="T53" i="32"/>
  <c r="Q53" i="32"/>
  <c r="AB54" i="32" s="1"/>
  <c r="AA54" i="32" s="1"/>
  <c r="K53" i="32"/>
  <c r="Z52" i="32"/>
  <c r="Y52" i="32"/>
  <c r="AC52" i="32" s="1"/>
  <c r="X52" i="32"/>
  <c r="T52" i="32"/>
  <c r="Q52" i="32"/>
  <c r="AB52" i="32" s="1"/>
  <c r="AA52" i="32" s="1"/>
  <c r="I52" i="32"/>
  <c r="H52" i="32"/>
  <c r="X51" i="32"/>
  <c r="Z51" i="32" s="1"/>
  <c r="T51" i="32"/>
  <c r="Q51" i="32"/>
  <c r="K51" i="32"/>
  <c r="Y50" i="32"/>
  <c r="X50" i="32"/>
  <c r="Z50" i="32" s="1"/>
  <c r="T50" i="32"/>
  <c r="Q50" i="32"/>
  <c r="AB51" i="32" s="1"/>
  <c r="AA51" i="32" s="1"/>
  <c r="K50" i="32"/>
  <c r="Z49" i="32"/>
  <c r="Y49" i="32"/>
  <c r="AC49" i="32" s="1"/>
  <c r="X49" i="32"/>
  <c r="T49" i="32"/>
  <c r="Q49" i="32"/>
  <c r="K49" i="32"/>
  <c r="Z48" i="32"/>
  <c r="Y48" i="32"/>
  <c r="AC48" i="32" s="1"/>
  <c r="X48" i="32"/>
  <c r="T48" i="32"/>
  <c r="Q48" i="32"/>
  <c r="AB49" i="32" s="1"/>
  <c r="AA49" i="32" s="1"/>
  <c r="K48" i="32"/>
  <c r="AB47" i="32"/>
  <c r="AA47" i="32" s="1"/>
  <c r="Z47" i="32"/>
  <c r="Y47" i="32"/>
  <c r="AC47" i="32" s="1"/>
  <c r="X47" i="32"/>
  <c r="T47" i="32"/>
  <c r="Q47" i="32"/>
  <c r="AB48" i="32" s="1"/>
  <c r="AA48" i="32" s="1"/>
  <c r="K47" i="32"/>
  <c r="AB46" i="32"/>
  <c r="AA46" i="32" s="1"/>
  <c r="X46" i="32"/>
  <c r="Z46" i="32" s="1"/>
  <c r="T46" i="32"/>
  <c r="Q46" i="32"/>
  <c r="H46" i="32"/>
  <c r="I46" i="32" s="1"/>
  <c r="T45" i="32"/>
  <c r="Q45" i="32"/>
  <c r="X45" i="32" s="1"/>
  <c r="K45" i="32"/>
  <c r="AB44" i="32"/>
  <c r="AA44" i="32" s="1"/>
  <c r="Z44" i="32"/>
  <c r="X44" i="32"/>
  <c r="Y44" i="32" s="1"/>
  <c r="AC44" i="32" s="1"/>
  <c r="T44" i="32"/>
  <c r="Q44" i="32"/>
  <c r="AB45" i="32" s="1"/>
  <c r="AA45" i="32" s="1"/>
  <c r="K44" i="32"/>
  <c r="T43" i="32"/>
  <c r="Q43" i="32"/>
  <c r="K43" i="32"/>
  <c r="T42" i="32"/>
  <c r="Q42" i="32"/>
  <c r="X43" i="32" s="1"/>
  <c r="K42" i="32"/>
  <c r="T41" i="32"/>
  <c r="Q41" i="32"/>
  <c r="AB42" i="32" s="1"/>
  <c r="AA42" i="32" s="1"/>
  <c r="K41" i="32"/>
  <c r="X40" i="32"/>
  <c r="Z40" i="32" s="1"/>
  <c r="T40" i="32"/>
  <c r="Q40" i="32"/>
  <c r="AB41" i="32" s="1"/>
  <c r="AA41" i="32" s="1"/>
  <c r="H40" i="32"/>
  <c r="T39" i="32"/>
  <c r="Q39" i="32"/>
  <c r="K39" i="32"/>
  <c r="T38" i="32"/>
  <c r="Q38" i="32"/>
  <c r="AB39" i="32" s="1"/>
  <c r="AA39" i="32" s="1"/>
  <c r="K38" i="32"/>
  <c r="X37" i="32"/>
  <c r="Z37" i="32" s="1"/>
  <c r="T37" i="32"/>
  <c r="Q37" i="32"/>
  <c r="AB38" i="32" s="1"/>
  <c r="AA38" i="32" s="1"/>
  <c r="K37" i="32"/>
  <c r="Y36" i="32"/>
  <c r="X36" i="32"/>
  <c r="Z36" i="32" s="1"/>
  <c r="T36" i="32"/>
  <c r="Q36" i="32"/>
  <c r="K36" i="32"/>
  <c r="Z35" i="32"/>
  <c r="Y35" i="32"/>
  <c r="X35" i="32"/>
  <c r="T35" i="32"/>
  <c r="Q35" i="32"/>
  <c r="AB36" i="32" s="1"/>
  <c r="AA36" i="32" s="1"/>
  <c r="K35" i="32"/>
  <c r="T34" i="32"/>
  <c r="Q34" i="32"/>
  <c r="X34" i="32" s="1"/>
  <c r="I34" i="32"/>
  <c r="H34" i="32"/>
  <c r="Y33" i="32"/>
  <c r="AC33" i="32" s="1"/>
  <c r="X33" i="32"/>
  <c r="Z33" i="32" s="1"/>
  <c r="T33" i="32"/>
  <c r="Q33" i="32"/>
  <c r="K33" i="32"/>
  <c r="Z32" i="32"/>
  <c r="Y32" i="32"/>
  <c r="AC32" i="32" s="1"/>
  <c r="X32" i="32"/>
  <c r="T32" i="32"/>
  <c r="Q32" i="32"/>
  <c r="AB33" i="32" s="1"/>
  <c r="AA33" i="32" s="1"/>
  <c r="K32" i="32"/>
  <c r="Z31" i="32"/>
  <c r="Y31" i="32"/>
  <c r="AC31" i="32" s="1"/>
  <c r="X31" i="32"/>
  <c r="T31" i="32"/>
  <c r="Q31" i="32"/>
  <c r="AB32" i="32" s="1"/>
  <c r="AA32" i="32" s="1"/>
  <c r="K31" i="32"/>
  <c r="AB30" i="32"/>
  <c r="AA30" i="32" s="1"/>
  <c r="Z30" i="32"/>
  <c r="X30" i="32"/>
  <c r="Y30" i="32" s="1"/>
  <c r="T30" i="32"/>
  <c r="Q30" i="32"/>
  <c r="AB31" i="32" s="1"/>
  <c r="AA31" i="32" s="1"/>
  <c r="K30" i="32"/>
  <c r="T29" i="32"/>
  <c r="Q29" i="32"/>
  <c r="K29" i="32"/>
  <c r="T28" i="32"/>
  <c r="Q28" i="32"/>
  <c r="AB28" i="32" s="1"/>
  <c r="AA28" i="32" s="1"/>
  <c r="I28" i="32"/>
  <c r="H28" i="32"/>
  <c r="AB27" i="32"/>
  <c r="AA27" i="32" s="1"/>
  <c r="Z27" i="32"/>
  <c r="X27" i="32"/>
  <c r="Y27" i="32" s="1"/>
  <c r="AC27" i="32" s="1"/>
  <c r="T27" i="32"/>
  <c r="Q27" i="32"/>
  <c r="K27" i="32"/>
  <c r="T26" i="32"/>
  <c r="Q26" i="32"/>
  <c r="K26" i="32"/>
  <c r="T25" i="32"/>
  <c r="Q25" i="32"/>
  <c r="X26" i="32" s="1"/>
  <c r="K25" i="32"/>
  <c r="T24" i="32"/>
  <c r="Q24" i="32"/>
  <c r="AB25" i="32" s="1"/>
  <c r="AA25" i="32" s="1"/>
  <c r="K24" i="32"/>
  <c r="X23" i="32"/>
  <c r="Z23" i="32" s="1"/>
  <c r="T23" i="32"/>
  <c r="Q23" i="32"/>
  <c r="AB24" i="32" s="1"/>
  <c r="AA24" i="32" s="1"/>
  <c r="K23" i="32"/>
  <c r="AB22" i="32"/>
  <c r="AA22" i="32" s="1"/>
  <c r="Y22" i="32"/>
  <c r="AC22" i="32" s="1"/>
  <c r="X22" i="32"/>
  <c r="Z22" i="32" s="1"/>
  <c r="T22" i="32"/>
  <c r="Q22" i="32"/>
  <c r="I22" i="32"/>
  <c r="H22" i="32"/>
  <c r="T21" i="32"/>
  <c r="Q21" i="32"/>
  <c r="K21" i="32"/>
  <c r="X20" i="32"/>
  <c r="Z20" i="32" s="1"/>
  <c r="T20" i="32"/>
  <c r="Q20" i="32"/>
  <c r="AB21" i="32" s="1"/>
  <c r="AA21" i="32" s="1"/>
  <c r="K20" i="32"/>
  <c r="AB19" i="32"/>
  <c r="AA19" i="32" s="1"/>
  <c r="Y19" i="32"/>
  <c r="AC19" i="32" s="1"/>
  <c r="X19" i="32"/>
  <c r="Z19" i="32" s="1"/>
  <c r="T19" i="32"/>
  <c r="Q19" i="32"/>
  <c r="K19" i="32"/>
  <c r="Z18" i="32"/>
  <c r="Y18" i="32"/>
  <c r="X18" i="32"/>
  <c r="T18" i="32"/>
  <c r="Q18" i="32"/>
  <c r="K18" i="32"/>
  <c r="T17" i="32"/>
  <c r="Q17" i="32"/>
  <c r="X17" i="32" s="1"/>
  <c r="K17" i="32"/>
  <c r="AB16" i="32"/>
  <c r="AA16" i="32" s="1"/>
  <c r="Z16" i="32"/>
  <c r="X16" i="32"/>
  <c r="Y16" i="32" s="1"/>
  <c r="AC16" i="32" s="1"/>
  <c r="T16" i="32"/>
  <c r="Q16" i="32"/>
  <c r="AB17" i="32" s="1"/>
  <c r="AA17" i="32" s="1"/>
  <c r="H16" i="32"/>
  <c r="I16" i="32" s="1"/>
  <c r="X15" i="32"/>
  <c r="Z15" i="32" s="1"/>
  <c r="T15" i="32"/>
  <c r="Q15" i="32"/>
  <c r="K15" i="32"/>
  <c r="T14" i="32"/>
  <c r="Q14" i="32"/>
  <c r="X14" i="32" s="1"/>
  <c r="K14" i="32"/>
  <c r="T13" i="32"/>
  <c r="Q13" i="32"/>
  <c r="AB14" i="32" s="1"/>
  <c r="AA14" i="32" s="1"/>
  <c r="K13" i="32"/>
  <c r="T12" i="32"/>
  <c r="Q12" i="32"/>
  <c r="AB13" i="32" s="1"/>
  <c r="AA13" i="32" s="1"/>
  <c r="K12" i="32"/>
  <c r="T11" i="32"/>
  <c r="Q11" i="32"/>
  <c r="K11" i="32"/>
  <c r="T10" i="32"/>
  <c r="Q10" i="32"/>
  <c r="H10" i="32"/>
  <c r="I10" i="32" s="1"/>
  <c r="T69" i="31"/>
  <c r="Q69" i="31"/>
  <c r="K69" i="31"/>
  <c r="T68" i="31"/>
  <c r="Q68" i="31"/>
  <c r="AB69" i="31" s="1"/>
  <c r="AA69" i="31" s="1"/>
  <c r="K68" i="31"/>
  <c r="X67" i="31"/>
  <c r="Z67" i="31" s="1"/>
  <c r="T67" i="31"/>
  <c r="Q67" i="31"/>
  <c r="AB68" i="31" s="1"/>
  <c r="AA68" i="31" s="1"/>
  <c r="K67" i="31"/>
  <c r="Y66" i="31"/>
  <c r="X66" i="31"/>
  <c r="Z66" i="31" s="1"/>
  <c r="T66" i="31"/>
  <c r="Q66" i="31"/>
  <c r="AB67" i="31" s="1"/>
  <c r="AA67" i="31" s="1"/>
  <c r="K66" i="31"/>
  <c r="Z65" i="31"/>
  <c r="Y65" i="31"/>
  <c r="AC65" i="31" s="1"/>
  <c r="X65" i="31"/>
  <c r="T65" i="31"/>
  <c r="Q65" i="31"/>
  <c r="K65" i="31"/>
  <c r="Z64" i="31"/>
  <c r="Y64" i="31"/>
  <c r="X64" i="31"/>
  <c r="T64" i="31"/>
  <c r="Q64" i="31"/>
  <c r="AB65" i="31" s="1"/>
  <c r="AA65" i="31" s="1"/>
  <c r="I64" i="31"/>
  <c r="H64" i="31"/>
  <c r="Y63" i="31"/>
  <c r="X63" i="31"/>
  <c r="Z63" i="31" s="1"/>
  <c r="T63" i="31"/>
  <c r="Q63" i="31"/>
  <c r="AB63" i="31" s="1"/>
  <c r="AA63" i="31" s="1"/>
  <c r="K63" i="31"/>
  <c r="Z62" i="31"/>
  <c r="Y62" i="31"/>
  <c r="X62" i="31"/>
  <c r="T62" i="31"/>
  <c r="Q62" i="31"/>
  <c r="K62" i="31"/>
  <c r="Z61" i="31"/>
  <c r="Y61" i="31"/>
  <c r="X61" i="31"/>
  <c r="T61" i="31"/>
  <c r="Q61" i="31"/>
  <c r="AB62" i="31" s="1"/>
  <c r="AA62" i="31" s="1"/>
  <c r="K61" i="31"/>
  <c r="AB60" i="31"/>
  <c r="AA60" i="31" s="1"/>
  <c r="Z60" i="31"/>
  <c r="Y60" i="31"/>
  <c r="AC60" i="31" s="1"/>
  <c r="X60" i="31"/>
  <c r="T60" i="31"/>
  <c r="Q60" i="31"/>
  <c r="K60" i="31"/>
  <c r="T59" i="31"/>
  <c r="Q59" i="31"/>
  <c r="K59" i="31"/>
  <c r="T58" i="31"/>
  <c r="Q58" i="31"/>
  <c r="AB59" i="31" s="1"/>
  <c r="AA59" i="31" s="1"/>
  <c r="I58" i="31"/>
  <c r="H58" i="31"/>
  <c r="AB57" i="31"/>
  <c r="AA57" i="31" s="1"/>
  <c r="Z57" i="31"/>
  <c r="Y57" i="31"/>
  <c r="X57" i="31"/>
  <c r="T57" i="31"/>
  <c r="Q57" i="31"/>
  <c r="K57" i="31"/>
  <c r="T56" i="31"/>
  <c r="Q56" i="31"/>
  <c r="K56" i="31"/>
  <c r="T55" i="31"/>
  <c r="Q55" i="31"/>
  <c r="AB56" i="31" s="1"/>
  <c r="AA56" i="31" s="1"/>
  <c r="K55" i="31"/>
  <c r="T54" i="31"/>
  <c r="Q54" i="31"/>
  <c r="AB55" i="31" s="1"/>
  <c r="AA55" i="31" s="1"/>
  <c r="K54" i="31"/>
  <c r="X53" i="31"/>
  <c r="Z53" i="31" s="1"/>
  <c r="T53" i="31"/>
  <c r="Q53" i="31"/>
  <c r="AB54" i="31" s="1"/>
  <c r="AA54" i="31" s="1"/>
  <c r="K53" i="31"/>
  <c r="Y52" i="31"/>
  <c r="X52" i="31"/>
  <c r="Z52" i="31" s="1"/>
  <c r="T52" i="31"/>
  <c r="Q52" i="31"/>
  <c r="AB53" i="31" s="1"/>
  <c r="AA53" i="31" s="1"/>
  <c r="I52" i="31"/>
  <c r="H52" i="31"/>
  <c r="T51" i="31"/>
  <c r="Q51" i="31"/>
  <c r="K51" i="31"/>
  <c r="X50" i="31"/>
  <c r="Z50" i="31" s="1"/>
  <c r="T50" i="31"/>
  <c r="Q50" i="31"/>
  <c r="AB51" i="31" s="1"/>
  <c r="AA51" i="31" s="1"/>
  <c r="K50" i="31"/>
  <c r="Y49" i="31"/>
  <c r="X49" i="31"/>
  <c r="Z49" i="31" s="1"/>
  <c r="T49" i="31"/>
  <c r="Q49" i="31"/>
  <c r="AB50" i="31" s="1"/>
  <c r="AA50" i="31" s="1"/>
  <c r="K49" i="31"/>
  <c r="Z48" i="31"/>
  <c r="X48" i="31"/>
  <c r="Y48" i="31" s="1"/>
  <c r="T48" i="31"/>
  <c r="Q48" i="31"/>
  <c r="K48" i="31"/>
  <c r="X47" i="31"/>
  <c r="Z47" i="31" s="1"/>
  <c r="T47" i="31"/>
  <c r="Q47" i="31"/>
  <c r="AB48" i="31" s="1"/>
  <c r="AA48" i="31" s="1"/>
  <c r="K47" i="31"/>
  <c r="AB46" i="31"/>
  <c r="AA46" i="31" s="1"/>
  <c r="Z46" i="31"/>
  <c r="Y46" i="31"/>
  <c r="AC46" i="31" s="1"/>
  <c r="X46" i="31"/>
  <c r="T46" i="31"/>
  <c r="Q46" i="31"/>
  <c r="I46" i="31"/>
  <c r="H46" i="31"/>
  <c r="Z45" i="31"/>
  <c r="X45" i="31"/>
  <c r="Y45" i="31" s="1"/>
  <c r="AC45" i="31" s="1"/>
  <c r="T45" i="31"/>
  <c r="Q45" i="31"/>
  <c r="K45" i="31"/>
  <c r="X44" i="31"/>
  <c r="Z44" i="31" s="1"/>
  <c r="T44" i="31"/>
  <c r="Q44" i="31"/>
  <c r="AB45" i="31" s="1"/>
  <c r="AA45" i="31" s="1"/>
  <c r="K44" i="31"/>
  <c r="AB43" i="31"/>
  <c r="AA43" i="31" s="1"/>
  <c r="Z43" i="31"/>
  <c r="Y43" i="31"/>
  <c r="X43" i="31"/>
  <c r="T43" i="31"/>
  <c r="Q43" i="31"/>
  <c r="K43" i="31"/>
  <c r="T42" i="31"/>
  <c r="Q42" i="31"/>
  <c r="K42" i="31"/>
  <c r="T41" i="31"/>
  <c r="Q41" i="31"/>
  <c r="AB42" i="31" s="1"/>
  <c r="AA42" i="31" s="1"/>
  <c r="K41" i="31"/>
  <c r="AB40" i="31"/>
  <c r="AA40" i="31" s="1"/>
  <c r="T40" i="31"/>
  <c r="Q40" i="31"/>
  <c r="X41" i="31" s="1"/>
  <c r="H40" i="31"/>
  <c r="I40" i="31" s="1"/>
  <c r="T39" i="31"/>
  <c r="Q39" i="31"/>
  <c r="K39" i="31"/>
  <c r="T38" i="31"/>
  <c r="Q38" i="31"/>
  <c r="AB39" i="31" s="1"/>
  <c r="AA39" i="31" s="1"/>
  <c r="K38" i="31"/>
  <c r="T37" i="31"/>
  <c r="Q37" i="31"/>
  <c r="X38" i="31" s="1"/>
  <c r="K37" i="31"/>
  <c r="X36" i="31"/>
  <c r="Z36" i="31" s="1"/>
  <c r="T36" i="31"/>
  <c r="Q36" i="31"/>
  <c r="AB37" i="31" s="1"/>
  <c r="AA37" i="31" s="1"/>
  <c r="K36" i="31"/>
  <c r="T35" i="31"/>
  <c r="Q35" i="31"/>
  <c r="X35" i="31" s="1"/>
  <c r="K35" i="31"/>
  <c r="Z34" i="31"/>
  <c r="X34" i="31"/>
  <c r="Y34" i="31" s="1"/>
  <c r="T34" i="31"/>
  <c r="Q34" i="31"/>
  <c r="AB34" i="31" s="1"/>
  <c r="AA34" i="31" s="1"/>
  <c r="H34" i="31"/>
  <c r="I34" i="31" s="1"/>
  <c r="X33" i="31"/>
  <c r="Z33" i="31" s="1"/>
  <c r="T33" i="31"/>
  <c r="Q33" i="31"/>
  <c r="K33" i="31"/>
  <c r="T32" i="31"/>
  <c r="Q32" i="31"/>
  <c r="X32" i="31" s="1"/>
  <c r="K32" i="31"/>
  <c r="Z31" i="31"/>
  <c r="X31" i="31"/>
  <c r="Y31" i="31" s="1"/>
  <c r="T31" i="31"/>
  <c r="Q31" i="31"/>
  <c r="K31" i="31"/>
  <c r="X30" i="31"/>
  <c r="Z30" i="31" s="1"/>
  <c r="T30" i="31"/>
  <c r="Q30" i="31"/>
  <c r="AB31" i="31" s="1"/>
  <c r="AA31" i="31" s="1"/>
  <c r="K30" i="31"/>
  <c r="AB29" i="31"/>
  <c r="AA29" i="31" s="1"/>
  <c r="Z29" i="31"/>
  <c r="Y29" i="31"/>
  <c r="AC29" i="31" s="1"/>
  <c r="X29" i="31"/>
  <c r="T29" i="31"/>
  <c r="Q29" i="31"/>
  <c r="K29" i="31"/>
  <c r="AB28" i="31"/>
  <c r="AA28" i="31"/>
  <c r="Z28" i="31"/>
  <c r="X28" i="31"/>
  <c r="Y28" i="31" s="1"/>
  <c r="AC28" i="31" s="1"/>
  <c r="T28" i="31"/>
  <c r="Q28" i="31"/>
  <c r="H28" i="31"/>
  <c r="I28" i="31" s="1"/>
  <c r="X27" i="31"/>
  <c r="Z27" i="31" s="1"/>
  <c r="T27" i="31"/>
  <c r="Q27" i="31"/>
  <c r="AB27" i="31" s="1"/>
  <c r="AA27" i="31" s="1"/>
  <c r="K27" i="31"/>
  <c r="AB26" i="31"/>
  <c r="AA26" i="31" s="1"/>
  <c r="Z26" i="31"/>
  <c r="Y26" i="31"/>
  <c r="X26" i="31"/>
  <c r="T26" i="31"/>
  <c r="Q26" i="31"/>
  <c r="K26" i="31"/>
  <c r="T25" i="31"/>
  <c r="Q25" i="31"/>
  <c r="K25" i="31"/>
  <c r="T24" i="31"/>
  <c r="Q24" i="31"/>
  <c r="AB25" i="31" s="1"/>
  <c r="AA25" i="31" s="1"/>
  <c r="K24" i="31"/>
  <c r="AB23" i="31"/>
  <c r="AA23" i="31" s="1"/>
  <c r="T23" i="31"/>
  <c r="Q23" i="31"/>
  <c r="X24" i="31" s="1"/>
  <c r="K23" i="31"/>
  <c r="X22" i="31"/>
  <c r="Z22" i="31" s="1"/>
  <c r="T22" i="31"/>
  <c r="Q22" i="31"/>
  <c r="AB22" i="31" s="1"/>
  <c r="AA22" i="31" s="1"/>
  <c r="H22" i="31"/>
  <c r="T21" i="31"/>
  <c r="Q21" i="31"/>
  <c r="AB21" i="31" s="1"/>
  <c r="AA21" i="31" s="1"/>
  <c r="K21" i="31"/>
  <c r="AB20" i="31"/>
  <c r="AA20" i="31" s="1"/>
  <c r="T20" i="31"/>
  <c r="Q20" i="31"/>
  <c r="X21" i="31" s="1"/>
  <c r="K20" i="31"/>
  <c r="X19" i="31"/>
  <c r="Z19" i="31" s="1"/>
  <c r="T19" i="31"/>
  <c r="Q19" i="31"/>
  <c r="X20" i="31" s="1"/>
  <c r="K19" i="31"/>
  <c r="T18" i="31"/>
  <c r="Q18" i="31"/>
  <c r="X18" i="31" s="1"/>
  <c r="K18" i="31"/>
  <c r="Z17" i="31"/>
  <c r="X17" i="31"/>
  <c r="Y17" i="31" s="1"/>
  <c r="AC17" i="31" s="1"/>
  <c r="T17" i="31"/>
  <c r="Q17" i="31"/>
  <c r="K17" i="31"/>
  <c r="X16" i="31"/>
  <c r="Z16" i="31" s="1"/>
  <c r="T16" i="31"/>
  <c r="Q16" i="31"/>
  <c r="AB17" i="31" s="1"/>
  <c r="AA17" i="31" s="1"/>
  <c r="H16" i="31"/>
  <c r="I16" i="31" s="1"/>
  <c r="T15" i="31"/>
  <c r="Q15" i="31"/>
  <c r="X15" i="31" s="1"/>
  <c r="K15" i="31"/>
  <c r="X14" i="31"/>
  <c r="Y14" i="31" s="1"/>
  <c r="T14" i="31"/>
  <c r="Q14" i="31"/>
  <c r="AB15" i="31" s="1"/>
  <c r="AA15" i="31" s="1"/>
  <c r="K14" i="31"/>
  <c r="T13" i="31"/>
  <c r="Q13" i="31"/>
  <c r="AB14" i="31" s="1"/>
  <c r="AA14" i="31" s="1"/>
  <c r="K13" i="31"/>
  <c r="T12" i="31"/>
  <c r="Q12" i="31"/>
  <c r="AB13" i="31" s="1"/>
  <c r="AA13" i="31" s="1"/>
  <c r="K12" i="31"/>
  <c r="T11" i="31"/>
  <c r="Q11" i="31"/>
  <c r="K11" i="31"/>
  <c r="T10" i="31"/>
  <c r="Q10" i="31"/>
  <c r="I10" i="31"/>
  <c r="H10" i="31"/>
  <c r="T69" i="30"/>
  <c r="Q69" i="30"/>
  <c r="AB69" i="30" s="1"/>
  <c r="AA69" i="30" s="1"/>
  <c r="K69" i="30"/>
  <c r="T68" i="30"/>
  <c r="Q68" i="30"/>
  <c r="K68" i="30"/>
  <c r="X67" i="30"/>
  <c r="Z67" i="30" s="1"/>
  <c r="T67" i="30"/>
  <c r="Q67" i="30"/>
  <c r="AB68" i="30" s="1"/>
  <c r="AA68" i="30" s="1"/>
  <c r="K67" i="30"/>
  <c r="Y66" i="30"/>
  <c r="X66" i="30"/>
  <c r="Z66" i="30" s="1"/>
  <c r="T66" i="30"/>
  <c r="Q66" i="30"/>
  <c r="AB67" i="30" s="1"/>
  <c r="AA67" i="30" s="1"/>
  <c r="K66" i="30"/>
  <c r="AB65" i="30"/>
  <c r="AA65" i="30" s="1"/>
  <c r="Z65" i="30"/>
  <c r="X65" i="30"/>
  <c r="Y65" i="30" s="1"/>
  <c r="AC65" i="30" s="1"/>
  <c r="T65" i="30"/>
  <c r="Q65" i="30"/>
  <c r="AB66" i="30" s="1"/>
  <c r="AA66" i="30" s="1"/>
  <c r="K65" i="30"/>
  <c r="AB64" i="30"/>
  <c r="AA64" i="30"/>
  <c r="Z64" i="30"/>
  <c r="Y64" i="30"/>
  <c r="AC64" i="30" s="1"/>
  <c r="X64" i="30"/>
  <c r="T64" i="30"/>
  <c r="Q64" i="30"/>
  <c r="I64" i="30"/>
  <c r="H64" i="30"/>
  <c r="Y63" i="30"/>
  <c r="AC63" i="30" s="1"/>
  <c r="X63" i="30"/>
  <c r="Z63" i="30" s="1"/>
  <c r="T63" i="30"/>
  <c r="Q63" i="30"/>
  <c r="K63" i="30"/>
  <c r="AB62" i="30"/>
  <c r="AA62" i="30" s="1"/>
  <c r="Z62" i="30"/>
  <c r="X62" i="30"/>
  <c r="Y62" i="30" s="1"/>
  <c r="AC62" i="30" s="1"/>
  <c r="T62" i="30"/>
  <c r="Q62" i="30"/>
  <c r="AB63" i="30" s="1"/>
  <c r="AA63" i="30" s="1"/>
  <c r="K62" i="30"/>
  <c r="T61" i="30"/>
  <c r="Q61" i="30"/>
  <c r="K61" i="30"/>
  <c r="AB60" i="30"/>
  <c r="AA60" i="30" s="1"/>
  <c r="T60" i="30"/>
  <c r="Q60" i="30"/>
  <c r="X61" i="30" s="1"/>
  <c r="K60" i="30"/>
  <c r="T59" i="30"/>
  <c r="Q59" i="30"/>
  <c r="K59" i="30"/>
  <c r="T58" i="30"/>
  <c r="Q58" i="30"/>
  <c r="AB59" i="30" s="1"/>
  <c r="AA59" i="30" s="1"/>
  <c r="H58" i="30"/>
  <c r="AB57" i="30"/>
  <c r="AA57" i="30" s="1"/>
  <c r="T57" i="30"/>
  <c r="Q57" i="30"/>
  <c r="X57" i="30" s="1"/>
  <c r="K57" i="30"/>
  <c r="T56" i="30"/>
  <c r="Q56" i="30"/>
  <c r="K56" i="30"/>
  <c r="T55" i="30"/>
  <c r="Q55" i="30"/>
  <c r="AB56" i="30" s="1"/>
  <c r="AA56" i="30" s="1"/>
  <c r="K55" i="30"/>
  <c r="T54" i="30"/>
  <c r="Q54" i="30"/>
  <c r="K54" i="30"/>
  <c r="X53" i="30"/>
  <c r="Z53" i="30" s="1"/>
  <c r="T53" i="30"/>
  <c r="Q53" i="30"/>
  <c r="AB54" i="30" s="1"/>
  <c r="AA54" i="30" s="1"/>
  <c r="K53" i="30"/>
  <c r="Y52" i="30"/>
  <c r="AC52" i="30" s="1"/>
  <c r="X52" i="30"/>
  <c r="Z52" i="30" s="1"/>
  <c r="T52" i="30"/>
  <c r="Q52" i="30"/>
  <c r="AB52" i="30" s="1"/>
  <c r="AA52" i="30" s="1"/>
  <c r="I52" i="30"/>
  <c r="H52" i="30"/>
  <c r="T51" i="30"/>
  <c r="Q51" i="30"/>
  <c r="K51" i="30"/>
  <c r="X50" i="30"/>
  <c r="Z50" i="30" s="1"/>
  <c r="T50" i="30"/>
  <c r="Q50" i="30"/>
  <c r="AB51" i="30" s="1"/>
  <c r="AA51" i="30" s="1"/>
  <c r="K50" i="30"/>
  <c r="Y49" i="30"/>
  <c r="X49" i="30"/>
  <c r="Z49" i="30" s="1"/>
  <c r="T49" i="30"/>
  <c r="Q49" i="30"/>
  <c r="K49" i="30"/>
  <c r="AB48" i="30"/>
  <c r="AA48" i="30" s="1"/>
  <c r="Z48" i="30"/>
  <c r="X48" i="30"/>
  <c r="Y48" i="30" s="1"/>
  <c r="T48" i="30"/>
  <c r="Q48" i="30"/>
  <c r="AB49" i="30" s="1"/>
  <c r="AA49" i="30" s="1"/>
  <c r="K48" i="30"/>
  <c r="T47" i="30"/>
  <c r="Q47" i="30"/>
  <c r="K47" i="30"/>
  <c r="AB46" i="30"/>
  <c r="AA46" i="30" s="1"/>
  <c r="T46" i="30"/>
  <c r="Q46" i="30"/>
  <c r="X47" i="30" s="1"/>
  <c r="H46" i="30"/>
  <c r="I46" i="30" s="1"/>
  <c r="AB45" i="30"/>
  <c r="AA45" i="30" s="1"/>
  <c r="Z45" i="30"/>
  <c r="X45" i="30"/>
  <c r="Y45" i="30" s="1"/>
  <c r="T45" i="30"/>
  <c r="Q45" i="30"/>
  <c r="K45" i="30"/>
  <c r="T44" i="30"/>
  <c r="Q44" i="30"/>
  <c r="K44" i="30"/>
  <c r="AB43" i="30"/>
  <c r="AA43" i="30" s="1"/>
  <c r="T43" i="30"/>
  <c r="Q43" i="30"/>
  <c r="X44" i="30" s="1"/>
  <c r="K43" i="30"/>
  <c r="T42" i="30"/>
  <c r="Q42" i="30"/>
  <c r="K42" i="30"/>
  <c r="T41" i="30"/>
  <c r="Q41" i="30"/>
  <c r="AB42" i="30" s="1"/>
  <c r="AA42" i="30" s="1"/>
  <c r="K41" i="30"/>
  <c r="T40" i="30"/>
  <c r="Q40" i="30"/>
  <c r="AB40" i="30" s="1"/>
  <c r="AA40" i="30" s="1"/>
  <c r="I40" i="30"/>
  <c r="H40" i="30"/>
  <c r="T39" i="30"/>
  <c r="Q39" i="30"/>
  <c r="K39" i="30"/>
  <c r="T38" i="30"/>
  <c r="Q38" i="30"/>
  <c r="AB39" i="30" s="1"/>
  <c r="AA39" i="30" s="1"/>
  <c r="K38" i="30"/>
  <c r="T37" i="30"/>
  <c r="Q37" i="30"/>
  <c r="K37" i="30"/>
  <c r="X36" i="30"/>
  <c r="Z36" i="30" s="1"/>
  <c r="T36" i="30"/>
  <c r="Q36" i="30"/>
  <c r="AB37" i="30" s="1"/>
  <c r="AA37" i="30" s="1"/>
  <c r="K36" i="30"/>
  <c r="Y35" i="30"/>
  <c r="AC35" i="30" s="1"/>
  <c r="X35" i="30"/>
  <c r="Z35" i="30" s="1"/>
  <c r="T35" i="30"/>
  <c r="Q35" i="30"/>
  <c r="K35" i="30"/>
  <c r="AB34" i="30"/>
  <c r="AA34" i="30" s="1"/>
  <c r="Z34" i="30"/>
  <c r="X34" i="30"/>
  <c r="Y34" i="30" s="1"/>
  <c r="AC34" i="30" s="1"/>
  <c r="T34" i="30"/>
  <c r="Q34" i="30"/>
  <c r="AB35" i="30" s="1"/>
  <c r="AA35" i="30" s="1"/>
  <c r="H34" i="30"/>
  <c r="I34" i="30" s="1"/>
  <c r="X33" i="30"/>
  <c r="Z33" i="30" s="1"/>
  <c r="T33" i="30"/>
  <c r="Q33" i="30"/>
  <c r="AB33" i="30" s="1"/>
  <c r="AA33" i="30" s="1"/>
  <c r="K33" i="30"/>
  <c r="Y32" i="30"/>
  <c r="AC32" i="30" s="1"/>
  <c r="X32" i="30"/>
  <c r="Z32" i="30" s="1"/>
  <c r="T32" i="30"/>
  <c r="Q32" i="30"/>
  <c r="K32" i="30"/>
  <c r="AB31" i="30"/>
  <c r="AA31" i="30" s="1"/>
  <c r="Z31" i="30"/>
  <c r="X31" i="30"/>
  <c r="Y31" i="30" s="1"/>
  <c r="T31" i="30"/>
  <c r="Q31" i="30"/>
  <c r="AB32" i="30" s="1"/>
  <c r="AA32" i="30" s="1"/>
  <c r="K31" i="30"/>
  <c r="T30" i="30"/>
  <c r="Q30" i="30"/>
  <c r="K30" i="30"/>
  <c r="AB29" i="30"/>
  <c r="AA29" i="30" s="1"/>
  <c r="T29" i="30"/>
  <c r="Q29" i="30"/>
  <c r="X30" i="30" s="1"/>
  <c r="K29" i="30"/>
  <c r="AB28" i="30"/>
  <c r="AA28" i="30"/>
  <c r="T28" i="30"/>
  <c r="Q28" i="30"/>
  <c r="X28" i="30" s="1"/>
  <c r="I28" i="30"/>
  <c r="H28" i="30"/>
  <c r="T27" i="30"/>
  <c r="Q27" i="30"/>
  <c r="K27" i="30"/>
  <c r="AB26" i="30"/>
  <c r="AA26" i="30" s="1"/>
  <c r="T26" i="30"/>
  <c r="Q26" i="30"/>
  <c r="X27" i="30" s="1"/>
  <c r="K26" i="30"/>
  <c r="T25" i="30"/>
  <c r="Q25" i="30"/>
  <c r="K25" i="30"/>
  <c r="T24" i="30"/>
  <c r="Q24" i="30"/>
  <c r="AB25" i="30" s="1"/>
  <c r="AA25" i="30" s="1"/>
  <c r="K24" i="30"/>
  <c r="T23" i="30"/>
  <c r="Q23" i="30"/>
  <c r="K23" i="30"/>
  <c r="X22" i="30"/>
  <c r="Z22" i="30" s="1"/>
  <c r="T22" i="30"/>
  <c r="Q22" i="30"/>
  <c r="AB23" i="30" s="1"/>
  <c r="AA23" i="30" s="1"/>
  <c r="H22" i="30"/>
  <c r="T21" i="30"/>
  <c r="Q21" i="30"/>
  <c r="AB21" i="30" s="1"/>
  <c r="AA21" i="30" s="1"/>
  <c r="K21" i="30"/>
  <c r="T20" i="30"/>
  <c r="Q20" i="30"/>
  <c r="K20" i="30"/>
  <c r="X19" i="30"/>
  <c r="Z19" i="30" s="1"/>
  <c r="T19" i="30"/>
  <c r="Q19" i="30"/>
  <c r="AB20" i="30" s="1"/>
  <c r="AA20" i="30" s="1"/>
  <c r="K19" i="30"/>
  <c r="Y18" i="30"/>
  <c r="X18" i="30"/>
  <c r="Z18" i="30" s="1"/>
  <c r="T18" i="30"/>
  <c r="Q18" i="30"/>
  <c r="K18" i="30"/>
  <c r="AB17" i="30"/>
  <c r="AA17" i="30" s="1"/>
  <c r="Z17" i="30"/>
  <c r="X17" i="30"/>
  <c r="Y17" i="30" s="1"/>
  <c r="AC17" i="30" s="1"/>
  <c r="T17" i="30"/>
  <c r="Q17" i="30"/>
  <c r="AB18" i="30" s="1"/>
  <c r="AA18" i="30" s="1"/>
  <c r="K17" i="30"/>
  <c r="AB16" i="30"/>
  <c r="AA16" i="30"/>
  <c r="Z16" i="30"/>
  <c r="Y16" i="30"/>
  <c r="AC16" i="30" s="1"/>
  <c r="X16" i="30"/>
  <c r="T16" i="30"/>
  <c r="Q16" i="30"/>
  <c r="I16" i="30"/>
  <c r="H16" i="30"/>
  <c r="X15" i="30"/>
  <c r="Z15" i="30" s="1"/>
  <c r="T15" i="30"/>
  <c r="Q15" i="30"/>
  <c r="K15" i="30"/>
  <c r="AB14" i="30"/>
  <c r="AA14" i="30" s="1"/>
  <c r="X14" i="30"/>
  <c r="Y14" i="30" s="1"/>
  <c r="T14" i="30"/>
  <c r="Q14" i="30"/>
  <c r="AB15" i="30" s="1"/>
  <c r="AA15" i="30" s="1"/>
  <c r="K14" i="30"/>
  <c r="T13" i="30"/>
  <c r="Q13" i="30"/>
  <c r="K13" i="30"/>
  <c r="T12" i="30"/>
  <c r="Q12" i="30"/>
  <c r="X13" i="30" s="1"/>
  <c r="K12" i="30"/>
  <c r="T11" i="30"/>
  <c r="Q11" i="30"/>
  <c r="K11" i="30"/>
  <c r="T10" i="30"/>
  <c r="Q10" i="30"/>
  <c r="H10" i="30"/>
  <c r="T66" i="29"/>
  <c r="Q66" i="29"/>
  <c r="K66" i="29"/>
  <c r="T65" i="29"/>
  <c r="Q65" i="29"/>
  <c r="K65" i="29"/>
  <c r="T64" i="29"/>
  <c r="Q64" i="29"/>
  <c r="AB65" i="29" s="1"/>
  <c r="AA65" i="29" s="1"/>
  <c r="K64" i="29"/>
  <c r="T63" i="29"/>
  <c r="Q63" i="29"/>
  <c r="K63" i="29"/>
  <c r="T62" i="29"/>
  <c r="Q62" i="29"/>
  <c r="K62" i="29"/>
  <c r="T61" i="29"/>
  <c r="Q61" i="29"/>
  <c r="X62" i="29" s="1"/>
  <c r="H61" i="29"/>
  <c r="I61" i="29" s="1"/>
  <c r="T60" i="29"/>
  <c r="Q60" i="29"/>
  <c r="K60" i="29"/>
  <c r="T59" i="29"/>
  <c r="Q59" i="29"/>
  <c r="K59" i="29"/>
  <c r="T58" i="29"/>
  <c r="Q58" i="29"/>
  <c r="K58" i="29"/>
  <c r="T57" i="29"/>
  <c r="Q57" i="29"/>
  <c r="AB58" i="29" s="1"/>
  <c r="AA58" i="29" s="1"/>
  <c r="K57" i="29"/>
  <c r="T56" i="29"/>
  <c r="Q56" i="29"/>
  <c r="AB57" i="29" s="1"/>
  <c r="AA57" i="29" s="1"/>
  <c r="K56" i="29"/>
  <c r="T55" i="29"/>
  <c r="Q55" i="29"/>
  <c r="H55" i="29"/>
  <c r="I55" i="29" s="1"/>
  <c r="T54" i="29"/>
  <c r="Q54" i="29"/>
  <c r="K54" i="29"/>
  <c r="T53" i="29"/>
  <c r="Q53" i="29"/>
  <c r="K53" i="29"/>
  <c r="T52" i="29"/>
  <c r="Q52" i="29"/>
  <c r="K52" i="29"/>
  <c r="T51" i="29"/>
  <c r="Q51" i="29"/>
  <c r="AB52" i="29" s="1"/>
  <c r="AA52" i="29" s="1"/>
  <c r="K51" i="29"/>
  <c r="T50" i="29"/>
  <c r="Q50" i="29"/>
  <c r="K50" i="29"/>
  <c r="X49" i="29"/>
  <c r="Y49" i="29" s="1"/>
  <c r="T49" i="29"/>
  <c r="Q49" i="29"/>
  <c r="H49" i="29"/>
  <c r="I49" i="29" s="1"/>
  <c r="T48" i="29"/>
  <c r="Q48" i="29"/>
  <c r="K48" i="29"/>
  <c r="T47" i="29"/>
  <c r="Q47" i="29"/>
  <c r="K47" i="29"/>
  <c r="T46" i="29"/>
  <c r="Q46" i="29"/>
  <c r="K46" i="29"/>
  <c r="T45" i="29"/>
  <c r="Q45" i="29"/>
  <c r="K45" i="29"/>
  <c r="T44" i="29"/>
  <c r="Q44" i="29"/>
  <c r="X45" i="29" s="1"/>
  <c r="K44" i="29"/>
  <c r="AB43" i="29"/>
  <c r="AA43" i="29" s="1"/>
  <c r="X43" i="29"/>
  <c r="Z43" i="29" s="1"/>
  <c r="T43" i="29"/>
  <c r="Q43" i="29"/>
  <c r="H43" i="29"/>
  <c r="I43" i="29" s="1"/>
  <c r="T42" i="29"/>
  <c r="Q42" i="29"/>
  <c r="K42" i="29"/>
  <c r="T41" i="29"/>
  <c r="Q41" i="29"/>
  <c r="K41" i="29"/>
  <c r="T40" i="29"/>
  <c r="Q40" i="29"/>
  <c r="K40" i="29"/>
  <c r="T39" i="29"/>
  <c r="Q39" i="29"/>
  <c r="K39" i="29"/>
  <c r="T38" i="29"/>
  <c r="Q38" i="29"/>
  <c r="K38" i="29"/>
  <c r="T37" i="29"/>
  <c r="Q37" i="29"/>
  <c r="AB38" i="29" s="1"/>
  <c r="AA38" i="29" s="1"/>
  <c r="H37" i="29"/>
  <c r="T36" i="29"/>
  <c r="Q36" i="29"/>
  <c r="K36" i="29"/>
  <c r="T35" i="29"/>
  <c r="Q35" i="29"/>
  <c r="K35" i="29"/>
  <c r="T34" i="29"/>
  <c r="Q34" i="29"/>
  <c r="K34" i="29"/>
  <c r="T33" i="29"/>
  <c r="Q33" i="29"/>
  <c r="K33" i="29"/>
  <c r="T32" i="29"/>
  <c r="Q32" i="29"/>
  <c r="AB33" i="29" s="1"/>
  <c r="AA33" i="29" s="1"/>
  <c r="K32" i="29"/>
  <c r="T31" i="29"/>
  <c r="Q31" i="29"/>
  <c r="X31" i="29" s="1"/>
  <c r="H31" i="29"/>
  <c r="I31" i="29" s="1"/>
  <c r="T30" i="29"/>
  <c r="Q30" i="29"/>
  <c r="K30" i="29"/>
  <c r="X29" i="29"/>
  <c r="Z29" i="29" s="1"/>
  <c r="T29" i="29"/>
  <c r="Q29" i="29"/>
  <c r="AB30" i="29" s="1"/>
  <c r="AA30" i="29" s="1"/>
  <c r="K29" i="29"/>
  <c r="T28" i="29"/>
  <c r="Q28" i="29"/>
  <c r="AB29" i="29" s="1"/>
  <c r="AA29" i="29" s="1"/>
  <c r="K28" i="29"/>
  <c r="T27" i="29"/>
  <c r="Q27" i="29"/>
  <c r="X28" i="29" s="1"/>
  <c r="K27" i="29"/>
  <c r="T26" i="29"/>
  <c r="Q26" i="29"/>
  <c r="K26" i="29"/>
  <c r="T25" i="29"/>
  <c r="Q25" i="29"/>
  <c r="AB25" i="29" s="1"/>
  <c r="AA25" i="29" s="1"/>
  <c r="H25" i="29"/>
  <c r="I25" i="29" s="1"/>
  <c r="AB24" i="29"/>
  <c r="AA24" i="29" s="1"/>
  <c r="T24" i="29"/>
  <c r="Q24" i="29"/>
  <c r="K24" i="29"/>
  <c r="AB23" i="29"/>
  <c r="AA23" i="29" s="1"/>
  <c r="T23" i="29"/>
  <c r="Q23" i="29"/>
  <c r="K23" i="29"/>
  <c r="T22" i="29"/>
  <c r="Q22" i="29"/>
  <c r="K22" i="29"/>
  <c r="T21" i="29"/>
  <c r="Q21" i="29"/>
  <c r="AB22" i="29" s="1"/>
  <c r="AA22" i="29" s="1"/>
  <c r="K21" i="29"/>
  <c r="T20" i="29"/>
  <c r="Q20" i="29"/>
  <c r="K20" i="29"/>
  <c r="T19" i="29"/>
  <c r="Q19" i="29"/>
  <c r="H19" i="29"/>
  <c r="T18" i="29"/>
  <c r="Q18" i="29"/>
  <c r="K18" i="29"/>
  <c r="T17" i="29"/>
  <c r="Q17" i="29"/>
  <c r="K17" i="29"/>
  <c r="T16" i="29"/>
  <c r="Q16" i="29"/>
  <c r="K16" i="29"/>
  <c r="T15" i="29"/>
  <c r="Q15" i="29"/>
  <c r="K15" i="29"/>
  <c r="T14" i="29"/>
  <c r="Q14" i="29"/>
  <c r="K14" i="29"/>
  <c r="T13" i="29"/>
  <c r="Q13" i="29"/>
  <c r="H13" i="29"/>
  <c r="I13" i="29" s="1"/>
  <c r="T12" i="29"/>
  <c r="Q12" i="29"/>
  <c r="K12" i="29"/>
  <c r="T11" i="29"/>
  <c r="Q11" i="29"/>
  <c r="AB12" i="29" s="1"/>
  <c r="AA12" i="29" s="1"/>
  <c r="K11" i="29"/>
  <c r="T10" i="29"/>
  <c r="Q10" i="29"/>
  <c r="H10" i="29"/>
  <c r="I10" i="29" s="1"/>
  <c r="T69" i="28"/>
  <c r="Q69" i="28"/>
  <c r="K69" i="28"/>
  <c r="X68" i="28"/>
  <c r="Z68" i="28" s="1"/>
  <c r="T68" i="28"/>
  <c r="Q68" i="28"/>
  <c r="AB69" i="28" s="1"/>
  <c r="AA69" i="28" s="1"/>
  <c r="K68" i="28"/>
  <c r="T67" i="28"/>
  <c r="Q67" i="28"/>
  <c r="AB68" i="28" s="1"/>
  <c r="AA68" i="28" s="1"/>
  <c r="K67" i="28"/>
  <c r="Z66" i="28"/>
  <c r="X66" i="28"/>
  <c r="Y66" i="28" s="1"/>
  <c r="T66" i="28"/>
  <c r="Q66" i="28"/>
  <c r="AB67" i="28" s="1"/>
  <c r="AA67" i="28" s="1"/>
  <c r="K66" i="28"/>
  <c r="Y65" i="28"/>
  <c r="AC65" i="28" s="1"/>
  <c r="X65" i="28"/>
  <c r="Z65" i="28" s="1"/>
  <c r="T65" i="28"/>
  <c r="Q65" i="28"/>
  <c r="AB66" i="28" s="1"/>
  <c r="AA66" i="28" s="1"/>
  <c r="K65" i="28"/>
  <c r="AB64" i="28"/>
  <c r="AA64" i="28" s="1"/>
  <c r="Z64" i="28"/>
  <c r="Y64" i="28"/>
  <c r="X64" i="28"/>
  <c r="T64" i="28"/>
  <c r="Q64" i="28"/>
  <c r="AB65" i="28" s="1"/>
  <c r="AA65" i="28" s="1"/>
  <c r="I64" i="28"/>
  <c r="H64" i="28"/>
  <c r="T63" i="28"/>
  <c r="Q63" i="28"/>
  <c r="K63" i="28"/>
  <c r="T62" i="28"/>
  <c r="Q62" i="28"/>
  <c r="X63" i="28" s="1"/>
  <c r="K62" i="28"/>
  <c r="AB61" i="28"/>
  <c r="AA61" i="28" s="1"/>
  <c r="Z61" i="28"/>
  <c r="Y61" i="28"/>
  <c r="AC61" i="28" s="1"/>
  <c r="X61" i="28"/>
  <c r="T61" i="28"/>
  <c r="Q61" i="28"/>
  <c r="AB62" i="28" s="1"/>
  <c r="AA62" i="28" s="1"/>
  <c r="K61" i="28"/>
  <c r="T60" i="28"/>
  <c r="Q60" i="28"/>
  <c r="K60" i="28"/>
  <c r="T59" i="28"/>
  <c r="Q59" i="28"/>
  <c r="AB59" i="28" s="1"/>
  <c r="AA59" i="28" s="1"/>
  <c r="K59" i="28"/>
  <c r="AB58" i="28"/>
  <c r="AA58" i="28" s="1"/>
  <c r="T58" i="28"/>
  <c r="Q58" i="28"/>
  <c r="X59" i="28" s="1"/>
  <c r="I58" i="28"/>
  <c r="H58" i="28"/>
  <c r="T57" i="28"/>
  <c r="Q57" i="28"/>
  <c r="K57" i="28"/>
  <c r="T56" i="28"/>
  <c r="Q56" i="28"/>
  <c r="AB56" i="28" s="1"/>
  <c r="AA56" i="28" s="1"/>
  <c r="K56" i="28"/>
  <c r="T55" i="28"/>
  <c r="Q55" i="28"/>
  <c r="X56" i="28" s="1"/>
  <c r="K55" i="28"/>
  <c r="X54" i="28"/>
  <c r="Z54" i="28" s="1"/>
  <c r="T54" i="28"/>
  <c r="Q54" i="28"/>
  <c r="AB55" i="28" s="1"/>
  <c r="AA55" i="28" s="1"/>
  <c r="K54" i="28"/>
  <c r="AB53" i="28"/>
  <c r="AA53" i="28" s="1"/>
  <c r="T53" i="28"/>
  <c r="Q53" i="28"/>
  <c r="AB54" i="28" s="1"/>
  <c r="AA54" i="28" s="1"/>
  <c r="K53" i="28"/>
  <c r="Z52" i="28"/>
  <c r="X52" i="28"/>
  <c r="Y52" i="28" s="1"/>
  <c r="T52" i="28"/>
  <c r="Q52" i="28"/>
  <c r="AB52" i="28" s="1"/>
  <c r="AA52" i="28" s="1"/>
  <c r="H52" i="28"/>
  <c r="I52" i="28" s="1"/>
  <c r="X51" i="28"/>
  <c r="Z51" i="28" s="1"/>
  <c r="T51" i="28"/>
  <c r="Q51" i="28"/>
  <c r="K51" i="28"/>
  <c r="AB50" i="28"/>
  <c r="AA50" i="28" s="1"/>
  <c r="T50" i="28"/>
  <c r="Q50" i="28"/>
  <c r="AB51" i="28" s="1"/>
  <c r="AA51" i="28" s="1"/>
  <c r="K50" i="28"/>
  <c r="T49" i="28"/>
  <c r="Q49" i="28"/>
  <c r="K49" i="28"/>
  <c r="T48" i="28"/>
  <c r="Q48" i="28"/>
  <c r="X49" i="28" s="1"/>
  <c r="K48" i="28"/>
  <c r="AB47" i="28"/>
  <c r="AA47" i="28" s="1"/>
  <c r="Z47" i="28"/>
  <c r="Y47" i="28"/>
  <c r="X47" i="28"/>
  <c r="T47" i="28"/>
  <c r="Q47" i="28"/>
  <c r="AB48" i="28" s="1"/>
  <c r="AA48" i="28" s="1"/>
  <c r="K47" i="28"/>
  <c r="AB46" i="28"/>
  <c r="AA46" i="28"/>
  <c r="X46" i="28"/>
  <c r="Z46" i="28" s="1"/>
  <c r="T46" i="28"/>
  <c r="Q46" i="28"/>
  <c r="H46" i="28"/>
  <c r="I46" i="28" s="1"/>
  <c r="T45" i="28"/>
  <c r="Q45" i="28"/>
  <c r="X45" i="28" s="1"/>
  <c r="K45" i="28"/>
  <c r="AB44" i="28"/>
  <c r="AA44" i="28" s="1"/>
  <c r="T44" i="28"/>
  <c r="Q44" i="28"/>
  <c r="X44" i="28" s="1"/>
  <c r="K44" i="28"/>
  <c r="T43" i="28"/>
  <c r="Q43" i="28"/>
  <c r="K43" i="28"/>
  <c r="T42" i="28"/>
  <c r="Q42" i="28"/>
  <c r="AB42" i="28" s="1"/>
  <c r="AA42" i="28" s="1"/>
  <c r="K42" i="28"/>
  <c r="T41" i="28"/>
  <c r="Q41" i="28"/>
  <c r="K41" i="28"/>
  <c r="X40" i="28"/>
  <c r="Z40" i="28" s="1"/>
  <c r="T40" i="28"/>
  <c r="Q40" i="28"/>
  <c r="AB41" i="28" s="1"/>
  <c r="AA41" i="28" s="1"/>
  <c r="H40" i="28"/>
  <c r="T39" i="28"/>
  <c r="Q39" i="28"/>
  <c r="AB39" i="28" s="1"/>
  <c r="AA39" i="28" s="1"/>
  <c r="K39" i="28"/>
  <c r="T38" i="28"/>
  <c r="Q38" i="28"/>
  <c r="X39" i="28" s="1"/>
  <c r="K38" i="28"/>
  <c r="X37" i="28"/>
  <c r="Z37" i="28" s="1"/>
  <c r="T37" i="28"/>
  <c r="Q37" i="28"/>
  <c r="AB38" i="28" s="1"/>
  <c r="AA38" i="28" s="1"/>
  <c r="K37" i="28"/>
  <c r="AB36" i="28"/>
  <c r="AA36" i="28" s="1"/>
  <c r="T36" i="28"/>
  <c r="Q36" i="28"/>
  <c r="AB37" i="28" s="1"/>
  <c r="AA37" i="28" s="1"/>
  <c r="K36" i="28"/>
  <c r="T35" i="28"/>
  <c r="Q35" i="28"/>
  <c r="K35" i="28"/>
  <c r="T34" i="28"/>
  <c r="Q34" i="28"/>
  <c r="X35" i="28" s="1"/>
  <c r="I34" i="28"/>
  <c r="H34" i="28"/>
  <c r="AB33" i="28"/>
  <c r="AA33" i="28" s="1"/>
  <c r="T33" i="28"/>
  <c r="Q33" i="28"/>
  <c r="X33" i="28" s="1"/>
  <c r="K33" i="28"/>
  <c r="T32" i="28"/>
  <c r="Q32" i="28"/>
  <c r="K32" i="28"/>
  <c r="T31" i="28"/>
  <c r="Q31" i="28"/>
  <c r="X32" i="28" s="1"/>
  <c r="K31" i="28"/>
  <c r="AB30" i="28"/>
  <c r="AA30" i="28" s="1"/>
  <c r="T30" i="28"/>
  <c r="Q30" i="28"/>
  <c r="X30" i="28" s="1"/>
  <c r="K30" i="28"/>
  <c r="T29" i="28"/>
  <c r="Q29" i="28"/>
  <c r="K29" i="28"/>
  <c r="T28" i="28"/>
  <c r="Q28" i="28"/>
  <c r="AB28" i="28" s="1"/>
  <c r="AA28" i="28" s="1"/>
  <c r="I28" i="28"/>
  <c r="H28" i="28"/>
  <c r="AB27" i="28"/>
  <c r="AA27" i="28" s="1"/>
  <c r="T27" i="28"/>
  <c r="Q27" i="28"/>
  <c r="X27" i="28" s="1"/>
  <c r="K27" i="28"/>
  <c r="T26" i="28"/>
  <c r="Q26" i="28"/>
  <c r="K26" i="28"/>
  <c r="T25" i="28"/>
  <c r="Q25" i="28"/>
  <c r="AB25" i="28" s="1"/>
  <c r="AA25" i="28" s="1"/>
  <c r="K25" i="28"/>
  <c r="T24" i="28"/>
  <c r="Q24" i="28"/>
  <c r="K24" i="28"/>
  <c r="X23" i="28"/>
  <c r="Z23" i="28" s="1"/>
  <c r="T23" i="28"/>
  <c r="Q23" i="28"/>
  <c r="AB24" i="28" s="1"/>
  <c r="AA24" i="28" s="1"/>
  <c r="K23" i="28"/>
  <c r="AB22" i="28"/>
  <c r="AA22" i="28" s="1"/>
  <c r="T22" i="28"/>
  <c r="Q22" i="28"/>
  <c r="AB23" i="28" s="1"/>
  <c r="AA23" i="28" s="1"/>
  <c r="I22" i="28"/>
  <c r="H22" i="28"/>
  <c r="T21" i="28"/>
  <c r="Q21" i="28"/>
  <c r="K21" i="28"/>
  <c r="X20" i="28"/>
  <c r="Z20" i="28" s="1"/>
  <c r="T20" i="28"/>
  <c r="Q20" i="28"/>
  <c r="AB21" i="28" s="1"/>
  <c r="AA21" i="28" s="1"/>
  <c r="K20" i="28"/>
  <c r="AB19" i="28"/>
  <c r="AA19" i="28" s="1"/>
  <c r="T19" i="28"/>
  <c r="Q19" i="28"/>
  <c r="AB20" i="28" s="1"/>
  <c r="AA20" i="28" s="1"/>
  <c r="K19" i="28"/>
  <c r="T18" i="28"/>
  <c r="Q18" i="28"/>
  <c r="K18" i="28"/>
  <c r="T17" i="28"/>
  <c r="Q17" i="28"/>
  <c r="X18" i="28" s="1"/>
  <c r="K17" i="28"/>
  <c r="AB16" i="28"/>
  <c r="AA16" i="28" s="1"/>
  <c r="T16" i="28"/>
  <c r="Q16" i="28"/>
  <c r="X16" i="28" s="1"/>
  <c r="I16" i="28"/>
  <c r="H16" i="28"/>
  <c r="T15" i="28"/>
  <c r="Q15" i="28"/>
  <c r="K15" i="28"/>
  <c r="T14" i="28"/>
  <c r="Q14" i="28"/>
  <c r="X15" i="28" s="1"/>
  <c r="K14" i="28"/>
  <c r="T13" i="28"/>
  <c r="Q13" i="28"/>
  <c r="K13" i="28"/>
  <c r="T12" i="28"/>
  <c r="Q12" i="28"/>
  <c r="AB13" i="28" s="1"/>
  <c r="AA13" i="28" s="1"/>
  <c r="K12" i="28"/>
  <c r="T11" i="28"/>
  <c r="Q11" i="28"/>
  <c r="K11" i="28"/>
  <c r="T10" i="28"/>
  <c r="Q10" i="28"/>
  <c r="I10" i="28"/>
  <c r="H10" i="28"/>
  <c r="T69" i="27"/>
  <c r="Q69" i="27"/>
  <c r="K69" i="27"/>
  <c r="T68" i="27"/>
  <c r="Q68" i="27"/>
  <c r="K68" i="27"/>
  <c r="X67" i="27"/>
  <c r="Z67" i="27" s="1"/>
  <c r="T67" i="27"/>
  <c r="Q67" i="27"/>
  <c r="K67" i="27"/>
  <c r="T66" i="27"/>
  <c r="Q66" i="27"/>
  <c r="AB67" i="27" s="1"/>
  <c r="AA67" i="27" s="1"/>
  <c r="K66" i="27"/>
  <c r="T65" i="27"/>
  <c r="Q65" i="27"/>
  <c r="AB66" i="27" s="1"/>
  <c r="AA66" i="27" s="1"/>
  <c r="K65" i="27"/>
  <c r="T64" i="27"/>
  <c r="Q64" i="27"/>
  <c r="X64" i="27" s="1"/>
  <c r="H64" i="27"/>
  <c r="I64" i="27" s="1"/>
  <c r="T63" i="27"/>
  <c r="Q63" i="27"/>
  <c r="K63" i="27"/>
  <c r="T62" i="27"/>
  <c r="Q62" i="27"/>
  <c r="AB63" i="27" s="1"/>
  <c r="AA63" i="27" s="1"/>
  <c r="K62" i="27"/>
  <c r="T61" i="27"/>
  <c r="Q61" i="27"/>
  <c r="AB62" i="27" s="1"/>
  <c r="AA62" i="27" s="1"/>
  <c r="K61" i="27"/>
  <c r="T60" i="27"/>
  <c r="Q60" i="27"/>
  <c r="X61" i="27" s="1"/>
  <c r="K60" i="27"/>
  <c r="T59" i="27"/>
  <c r="Q59" i="27"/>
  <c r="AB60" i="27" s="1"/>
  <c r="AA60" i="27" s="1"/>
  <c r="K59" i="27"/>
  <c r="T58" i="27"/>
  <c r="Q58" i="27"/>
  <c r="H58" i="27"/>
  <c r="AB57" i="27"/>
  <c r="AA57" i="27" s="1"/>
  <c r="T57" i="27"/>
  <c r="Q57" i="27"/>
  <c r="K57" i="27"/>
  <c r="T56" i="27"/>
  <c r="Q56" i="27"/>
  <c r="K56" i="27"/>
  <c r="T55" i="27"/>
  <c r="Q55" i="27"/>
  <c r="AB56" i="27" s="1"/>
  <c r="AA56" i="27" s="1"/>
  <c r="K55" i="27"/>
  <c r="T54" i="27"/>
  <c r="Q54" i="27"/>
  <c r="K54" i="27"/>
  <c r="X53" i="27"/>
  <c r="Z53" i="27" s="1"/>
  <c r="T53" i="27"/>
  <c r="Q53" i="27"/>
  <c r="K53" i="27"/>
  <c r="AB52" i="27"/>
  <c r="AA52" i="27" s="1"/>
  <c r="X52" i="27"/>
  <c r="Z52" i="27" s="1"/>
  <c r="T52" i="27"/>
  <c r="Q52" i="27"/>
  <c r="H52" i="27"/>
  <c r="I52" i="27" s="1"/>
  <c r="T51" i="27"/>
  <c r="Q51" i="27"/>
  <c r="K51" i="27"/>
  <c r="X50" i="27"/>
  <c r="Z50" i="27" s="1"/>
  <c r="T50" i="27"/>
  <c r="Q50" i="27"/>
  <c r="K50" i="27"/>
  <c r="AB49" i="27"/>
  <c r="AA49" i="27" s="1"/>
  <c r="T49" i="27"/>
  <c r="Q49" i="27"/>
  <c r="K49" i="27"/>
  <c r="Z48" i="27"/>
  <c r="X48" i="27"/>
  <c r="Y48" i="27" s="1"/>
  <c r="T48" i="27"/>
  <c r="Q48" i="27"/>
  <c r="X49" i="27" s="1"/>
  <c r="K48" i="27"/>
  <c r="T47" i="27"/>
  <c r="Q47" i="27"/>
  <c r="AB48" i="27" s="1"/>
  <c r="AA48" i="27" s="1"/>
  <c r="K47" i="27"/>
  <c r="AB46" i="27"/>
  <c r="AA46" i="27" s="1"/>
  <c r="T46" i="27"/>
  <c r="Q46" i="27"/>
  <c r="X47" i="27" s="1"/>
  <c r="H46" i="27"/>
  <c r="I46" i="27" s="1"/>
  <c r="T45" i="27"/>
  <c r="Q45" i="27"/>
  <c r="AB45" i="27" s="1"/>
  <c r="AA45" i="27" s="1"/>
  <c r="K45" i="27"/>
  <c r="T44" i="27"/>
  <c r="Q44" i="27"/>
  <c r="X45" i="27" s="1"/>
  <c r="K44" i="27"/>
  <c r="AB43" i="27"/>
  <c r="AA43" i="27" s="1"/>
  <c r="T43" i="27"/>
  <c r="Q43" i="27"/>
  <c r="K43" i="27"/>
  <c r="T42" i="27"/>
  <c r="Q42" i="27"/>
  <c r="K42" i="27"/>
  <c r="T41" i="27"/>
  <c r="Q41" i="27"/>
  <c r="AB42" i="27" s="1"/>
  <c r="AA42" i="27" s="1"/>
  <c r="K41" i="27"/>
  <c r="T40" i="27"/>
  <c r="Q40" i="27"/>
  <c r="AB40" i="27" s="1"/>
  <c r="AA40" i="27" s="1"/>
  <c r="I40" i="27"/>
  <c r="H40" i="27"/>
  <c r="T39" i="27"/>
  <c r="Q39" i="27"/>
  <c r="K39" i="27"/>
  <c r="T38" i="27"/>
  <c r="Q38" i="27"/>
  <c r="K38" i="27"/>
  <c r="T37" i="27"/>
  <c r="Q37" i="27"/>
  <c r="K37" i="27"/>
  <c r="X36" i="27"/>
  <c r="Z36" i="27" s="1"/>
  <c r="T36" i="27"/>
  <c r="Q36" i="27"/>
  <c r="AB37" i="27" s="1"/>
  <c r="AA37" i="27" s="1"/>
  <c r="K36" i="27"/>
  <c r="AB35" i="27"/>
  <c r="AA35" i="27" s="1"/>
  <c r="T35" i="27"/>
  <c r="Q35" i="27"/>
  <c r="K35" i="27"/>
  <c r="Z34" i="27"/>
  <c r="X34" i="27"/>
  <c r="Y34" i="27" s="1"/>
  <c r="T34" i="27"/>
  <c r="Q34" i="27"/>
  <c r="X35" i="27" s="1"/>
  <c r="H34" i="27"/>
  <c r="I34" i="27" s="1"/>
  <c r="X33" i="27"/>
  <c r="Z33" i="27" s="1"/>
  <c r="T33" i="27"/>
  <c r="Q33" i="27"/>
  <c r="K33" i="27"/>
  <c r="T32" i="27"/>
  <c r="Q32" i="27"/>
  <c r="K32" i="27"/>
  <c r="AB31" i="27"/>
  <c r="AA31" i="27" s="1"/>
  <c r="T31" i="27"/>
  <c r="Q31" i="27"/>
  <c r="X32" i="27" s="1"/>
  <c r="K31" i="27"/>
  <c r="T30" i="27"/>
  <c r="Q30" i="27"/>
  <c r="X31" i="27" s="1"/>
  <c r="K30" i="27"/>
  <c r="T29" i="27"/>
  <c r="Q29" i="27"/>
  <c r="X30" i="27" s="1"/>
  <c r="K29" i="27"/>
  <c r="AB28" i="27"/>
  <c r="AA28" i="27" s="1"/>
  <c r="T28" i="27"/>
  <c r="Q28" i="27"/>
  <c r="X28" i="27" s="1"/>
  <c r="Z28" i="27" s="1"/>
  <c r="H28" i="27"/>
  <c r="I28" i="27" s="1"/>
  <c r="T27" i="27"/>
  <c r="Q27" i="27"/>
  <c r="K27" i="27"/>
  <c r="T26" i="27"/>
  <c r="Q26" i="27"/>
  <c r="X27" i="27" s="1"/>
  <c r="K26" i="27"/>
  <c r="T25" i="27"/>
  <c r="Q25" i="27"/>
  <c r="AB26" i="27" s="1"/>
  <c r="AA26" i="27" s="1"/>
  <c r="K25" i="27"/>
  <c r="T24" i="27"/>
  <c r="Q24" i="27"/>
  <c r="K24" i="27"/>
  <c r="T23" i="27"/>
  <c r="Q23" i="27"/>
  <c r="K23" i="27"/>
  <c r="T22" i="27"/>
  <c r="Q22" i="27"/>
  <c r="AB23" i="27" s="1"/>
  <c r="AA23" i="27" s="1"/>
  <c r="H22" i="27"/>
  <c r="T21" i="27"/>
  <c r="Q21" i="27"/>
  <c r="AB21" i="27" s="1"/>
  <c r="AA21" i="27" s="1"/>
  <c r="K21" i="27"/>
  <c r="T20" i="27"/>
  <c r="Q20" i="27"/>
  <c r="K20" i="27"/>
  <c r="X19" i="27"/>
  <c r="Z19" i="27" s="1"/>
  <c r="T19" i="27"/>
  <c r="Q19" i="27"/>
  <c r="K19" i="27"/>
  <c r="T18" i="27"/>
  <c r="Q18" i="27"/>
  <c r="K18" i="27"/>
  <c r="AB17" i="27"/>
  <c r="AA17" i="27" s="1"/>
  <c r="T17" i="27"/>
  <c r="Q17" i="27"/>
  <c r="X18" i="27" s="1"/>
  <c r="K17" i="27"/>
  <c r="T16" i="27"/>
  <c r="Q16" i="27"/>
  <c r="X16" i="27" s="1"/>
  <c r="I16" i="27"/>
  <c r="H16" i="27"/>
  <c r="X15" i="27"/>
  <c r="Z15" i="27" s="1"/>
  <c r="T15" i="27"/>
  <c r="Q15" i="27"/>
  <c r="K15" i="27"/>
  <c r="AB14" i="27"/>
  <c r="AA14" i="27" s="1"/>
  <c r="X14" i="27"/>
  <c r="Y14" i="27" s="1"/>
  <c r="T14" i="27"/>
  <c r="Q14" i="27"/>
  <c r="AB15" i="27" s="1"/>
  <c r="AA15" i="27" s="1"/>
  <c r="K14" i="27"/>
  <c r="T13" i="27"/>
  <c r="Q13" i="27"/>
  <c r="K13" i="27"/>
  <c r="T12" i="27"/>
  <c r="Q12" i="27"/>
  <c r="X13" i="27" s="1"/>
  <c r="K12" i="27"/>
  <c r="T11" i="27"/>
  <c r="Q11" i="27"/>
  <c r="K11" i="27"/>
  <c r="T10" i="27"/>
  <c r="Q10" i="27"/>
  <c r="H10" i="27"/>
  <c r="T65" i="26"/>
  <c r="Q65" i="26"/>
  <c r="K65" i="26"/>
  <c r="T64" i="26"/>
  <c r="Q64" i="26"/>
  <c r="K64" i="26"/>
  <c r="T63" i="26"/>
  <c r="Q63" i="26"/>
  <c r="K63" i="26"/>
  <c r="T62" i="26"/>
  <c r="Q62" i="26"/>
  <c r="K62" i="26"/>
  <c r="T61" i="26"/>
  <c r="Q61" i="26"/>
  <c r="K61" i="26"/>
  <c r="T60" i="26"/>
  <c r="Q60" i="26"/>
  <c r="X60" i="26" s="1"/>
  <c r="H60" i="26"/>
  <c r="I60" i="26" s="1"/>
  <c r="T59" i="26"/>
  <c r="Q59" i="26"/>
  <c r="K59" i="26"/>
  <c r="T58" i="26"/>
  <c r="Q58" i="26"/>
  <c r="AB59" i="26" s="1"/>
  <c r="AA59" i="26" s="1"/>
  <c r="K58" i="26"/>
  <c r="T57" i="26"/>
  <c r="Q57" i="26"/>
  <c r="K57" i="26"/>
  <c r="T56" i="26"/>
  <c r="Q56" i="26"/>
  <c r="K56" i="26"/>
  <c r="T55" i="26"/>
  <c r="Q55" i="26"/>
  <c r="K55" i="26"/>
  <c r="T54" i="26"/>
  <c r="Q54" i="26"/>
  <c r="AB55" i="26" s="1"/>
  <c r="AA55" i="26" s="1"/>
  <c r="H54" i="26"/>
  <c r="T53" i="26"/>
  <c r="Q53" i="26"/>
  <c r="K53" i="26"/>
  <c r="T52" i="26"/>
  <c r="Q52" i="26"/>
  <c r="K52" i="26"/>
  <c r="T51" i="26"/>
  <c r="Q51" i="26"/>
  <c r="K51" i="26"/>
  <c r="T50" i="26"/>
  <c r="Q50" i="26"/>
  <c r="K50" i="26"/>
  <c r="T49" i="26"/>
  <c r="Q49" i="26"/>
  <c r="K49" i="26"/>
  <c r="T48" i="26"/>
  <c r="Q48" i="26"/>
  <c r="H48" i="26"/>
  <c r="I48" i="26" s="1"/>
  <c r="T47" i="26"/>
  <c r="Q47" i="26"/>
  <c r="K47" i="26"/>
  <c r="T46" i="26"/>
  <c r="Q46" i="26"/>
  <c r="K46" i="26"/>
  <c r="T45" i="26"/>
  <c r="Q45" i="26"/>
  <c r="K45" i="26"/>
  <c r="T44" i="26"/>
  <c r="Q44" i="26"/>
  <c r="K44" i="26"/>
  <c r="T43" i="26"/>
  <c r="Q43" i="26"/>
  <c r="K43" i="26"/>
  <c r="T42" i="26"/>
  <c r="Q42" i="26"/>
  <c r="H42" i="26"/>
  <c r="I42" i="26" s="1"/>
  <c r="T41" i="26"/>
  <c r="Q41" i="26"/>
  <c r="K41" i="26"/>
  <c r="T40" i="26"/>
  <c r="Q40" i="26"/>
  <c r="X41" i="26" s="1"/>
  <c r="Y41" i="26" s="1"/>
  <c r="K40" i="26"/>
  <c r="T39" i="26"/>
  <c r="Q39" i="26"/>
  <c r="K39" i="26"/>
  <c r="T38" i="26"/>
  <c r="Q38" i="26"/>
  <c r="K38" i="26"/>
  <c r="T37" i="26"/>
  <c r="Q37" i="26"/>
  <c r="K37" i="26"/>
  <c r="T36" i="26"/>
  <c r="Q36" i="26"/>
  <c r="AB36" i="26" s="1"/>
  <c r="AA36" i="26" s="1"/>
  <c r="H36" i="26"/>
  <c r="I36" i="26" s="1"/>
  <c r="T35" i="26"/>
  <c r="Q35" i="26"/>
  <c r="K35" i="26"/>
  <c r="T34" i="26"/>
  <c r="Q34" i="26"/>
  <c r="K34" i="26"/>
  <c r="T33" i="26"/>
  <c r="Q33" i="26"/>
  <c r="K33" i="26"/>
  <c r="T32" i="26"/>
  <c r="Q32" i="26"/>
  <c r="K32" i="26"/>
  <c r="T31" i="26"/>
  <c r="Q31" i="26"/>
  <c r="K31" i="26"/>
  <c r="T30" i="26"/>
  <c r="Q30" i="26"/>
  <c r="H30" i="26"/>
  <c r="I30" i="26" s="1"/>
  <c r="T29" i="26"/>
  <c r="Q29" i="26"/>
  <c r="K29" i="26"/>
  <c r="T28" i="26"/>
  <c r="Q28" i="26"/>
  <c r="K28" i="26"/>
  <c r="T27" i="26"/>
  <c r="Q27" i="26"/>
  <c r="K27" i="26"/>
  <c r="T26" i="26"/>
  <c r="Q26" i="26"/>
  <c r="X27" i="26" s="1"/>
  <c r="Y27" i="26" s="1"/>
  <c r="K26" i="26"/>
  <c r="T25" i="26"/>
  <c r="Q25" i="26"/>
  <c r="K25" i="26"/>
  <c r="T24" i="26"/>
  <c r="Q24" i="26"/>
  <c r="AB24" i="26" s="1"/>
  <c r="AA24" i="26" s="1"/>
  <c r="H24" i="26"/>
  <c r="I24" i="26" s="1"/>
  <c r="T23" i="26"/>
  <c r="Q23" i="26"/>
  <c r="K23" i="26"/>
  <c r="T22" i="26"/>
  <c r="Q22" i="26"/>
  <c r="K22" i="26"/>
  <c r="T21" i="26"/>
  <c r="Q21" i="26"/>
  <c r="K21" i="26"/>
  <c r="T20" i="26"/>
  <c r="Q20" i="26"/>
  <c r="K20" i="26"/>
  <c r="T19" i="26"/>
  <c r="Q19" i="26"/>
  <c r="K19" i="26"/>
  <c r="T18" i="26"/>
  <c r="Q18" i="26"/>
  <c r="H18" i="26"/>
  <c r="T17" i="26"/>
  <c r="Q17" i="26"/>
  <c r="K17" i="26"/>
  <c r="T16" i="26"/>
  <c r="Q16" i="26"/>
  <c r="K16" i="26"/>
  <c r="T15" i="26"/>
  <c r="Q15" i="26"/>
  <c r="K15" i="26"/>
  <c r="T14" i="26"/>
  <c r="Q14" i="26"/>
  <c r="K14" i="26"/>
  <c r="T13" i="26"/>
  <c r="Q13" i="26"/>
  <c r="K13" i="26"/>
  <c r="T12" i="26"/>
  <c r="Q12" i="26"/>
  <c r="H12" i="26"/>
  <c r="I12" i="26" s="1"/>
  <c r="T11" i="26"/>
  <c r="Q11" i="26"/>
  <c r="K11" i="26"/>
  <c r="T10" i="26"/>
  <c r="Q10" i="26"/>
  <c r="H10" i="26"/>
  <c r="Z29" i="33" l="1"/>
  <c r="Y29" i="33"/>
  <c r="AC29" i="33" s="1"/>
  <c r="Z43" i="33"/>
  <c r="Y43" i="33"/>
  <c r="X21" i="33"/>
  <c r="Z21" i="33" s="1"/>
  <c r="X39" i="33"/>
  <c r="Z39" i="33" s="1"/>
  <c r="X23" i="33"/>
  <c r="AB29" i="33"/>
  <c r="AA29" i="33" s="1"/>
  <c r="X35" i="33"/>
  <c r="Z35" i="33" s="1"/>
  <c r="AB43" i="33"/>
  <c r="AA43" i="33" s="1"/>
  <c r="X47" i="33"/>
  <c r="X49" i="33"/>
  <c r="Z49" i="33" s="1"/>
  <c r="X59" i="33"/>
  <c r="X61" i="33"/>
  <c r="X64" i="33"/>
  <c r="X66" i="33"/>
  <c r="Z66" i="33" s="1"/>
  <c r="AB19" i="33"/>
  <c r="AA19" i="33" s="1"/>
  <c r="AB20" i="33"/>
  <c r="AA20" i="33" s="1"/>
  <c r="AB28" i="33"/>
  <c r="AA28" i="33" s="1"/>
  <c r="Z33" i="33"/>
  <c r="AB41" i="33"/>
  <c r="AA41" i="33" s="1"/>
  <c r="X46" i="33"/>
  <c r="X60" i="33"/>
  <c r="X63" i="33"/>
  <c r="X22" i="33"/>
  <c r="Z22" i="33" s="1"/>
  <c r="X37" i="33"/>
  <c r="Z37" i="33" s="1"/>
  <c r="X45" i="33"/>
  <c r="AB53" i="33"/>
  <c r="AA53" i="33" s="1"/>
  <c r="AB55" i="33"/>
  <c r="AA55" i="33" s="1"/>
  <c r="AB68" i="33"/>
  <c r="AA68" i="33" s="1"/>
  <c r="Z16" i="33"/>
  <c r="AB24" i="33"/>
  <c r="AA24" i="33" s="1"/>
  <c r="AB25" i="33"/>
  <c r="AA25" i="33" s="1"/>
  <c r="X30" i="33"/>
  <c r="X32" i="33"/>
  <c r="Z32" i="33" s="1"/>
  <c r="X42" i="33"/>
  <c r="X44" i="33"/>
  <c r="AB46" i="33"/>
  <c r="AA46" i="33" s="1"/>
  <c r="X52" i="33"/>
  <c r="Z52" i="33" s="1"/>
  <c r="AB63" i="33"/>
  <c r="AA63" i="33" s="1"/>
  <c r="Y15" i="33"/>
  <c r="X56" i="33"/>
  <c r="Z56" i="33" s="1"/>
  <c r="AB58" i="33"/>
  <c r="AA58" i="33" s="1"/>
  <c r="AB59" i="33"/>
  <c r="AA59" i="33" s="1"/>
  <c r="X37" i="29"/>
  <c r="Z37" i="29" s="1"/>
  <c r="AB41" i="29"/>
  <c r="AA41" i="29" s="1"/>
  <c r="AB56" i="29"/>
  <c r="AA56" i="29" s="1"/>
  <c r="X16" i="29"/>
  <c r="Z16" i="29" s="1"/>
  <c r="AB50" i="29"/>
  <c r="AA50" i="29" s="1"/>
  <c r="AB64" i="29"/>
  <c r="AA64" i="29" s="1"/>
  <c r="X59" i="29"/>
  <c r="AB27" i="29"/>
  <c r="AA27" i="29" s="1"/>
  <c r="Y29" i="29"/>
  <c r="AB40" i="29"/>
  <c r="AA40" i="29" s="1"/>
  <c r="AB47" i="29"/>
  <c r="AA47" i="29" s="1"/>
  <c r="X54" i="29"/>
  <c r="Z54" i="29" s="1"/>
  <c r="X50" i="29"/>
  <c r="Z50" i="29" s="1"/>
  <c r="X11" i="29"/>
  <c r="X12" i="29"/>
  <c r="Z12" i="29" s="1"/>
  <c r="X15" i="29"/>
  <c r="Y15" i="29" s="1"/>
  <c r="AB16" i="29"/>
  <c r="AA16" i="29" s="1"/>
  <c r="X20" i="29"/>
  <c r="Z20" i="29" s="1"/>
  <c r="AB36" i="29"/>
  <c r="AA36" i="29" s="1"/>
  <c r="AB48" i="29"/>
  <c r="AA48" i="29" s="1"/>
  <c r="AB60" i="29"/>
  <c r="AA60" i="29" s="1"/>
  <c r="X30" i="29"/>
  <c r="Z30" i="29" s="1"/>
  <c r="Z49" i="29"/>
  <c r="AB63" i="29"/>
  <c r="AA63" i="29" s="1"/>
  <c r="AB18" i="29"/>
  <c r="AA18" i="29" s="1"/>
  <c r="X19" i="29"/>
  <c r="Z19" i="29" s="1"/>
  <c r="AB34" i="29"/>
  <c r="AA34" i="29" s="1"/>
  <c r="AB44" i="29"/>
  <c r="AA44" i="29" s="1"/>
  <c r="AB46" i="29"/>
  <c r="AA46" i="29" s="1"/>
  <c r="AB49" i="29"/>
  <c r="AA49" i="29" s="1"/>
  <c r="AB15" i="29"/>
  <c r="AA15" i="29" s="1"/>
  <c r="X33" i="29"/>
  <c r="Z33" i="29" s="1"/>
  <c r="X48" i="29"/>
  <c r="Z48" i="29" s="1"/>
  <c r="X64" i="29"/>
  <c r="Z64" i="29" s="1"/>
  <c r="X17" i="29"/>
  <c r="Z17" i="29" s="1"/>
  <c r="X32" i="29"/>
  <c r="AB17" i="29"/>
  <c r="AA17" i="29" s="1"/>
  <c r="AB19" i="29"/>
  <c r="AA19" i="29" s="1"/>
  <c r="X24" i="29"/>
  <c r="Y24" i="29" s="1"/>
  <c r="AC24" i="29" s="1"/>
  <c r="AB39" i="29"/>
  <c r="AA39" i="29" s="1"/>
  <c r="X47" i="29"/>
  <c r="Z47" i="29" s="1"/>
  <c r="X51" i="29"/>
  <c r="Z51" i="29" s="1"/>
  <c r="X57" i="29"/>
  <c r="Z57" i="29" s="1"/>
  <c r="X63" i="29"/>
  <c r="X14" i="29"/>
  <c r="Y14" i="29" s="1"/>
  <c r="X23" i="29"/>
  <c r="X46" i="29"/>
  <c r="X60" i="29"/>
  <c r="AB61" i="29"/>
  <c r="AA61" i="29" s="1"/>
  <c r="AC29" i="29"/>
  <c r="AB21" i="29"/>
  <c r="AA21" i="29" s="1"/>
  <c r="AB26" i="29"/>
  <c r="AA26" i="29" s="1"/>
  <c r="AB32" i="29"/>
  <c r="AA32" i="29" s="1"/>
  <c r="AB35" i="29"/>
  <c r="AA35" i="29" s="1"/>
  <c r="X42" i="29"/>
  <c r="Z42" i="29" s="1"/>
  <c r="AB53" i="29"/>
  <c r="AA53" i="29" s="1"/>
  <c r="AB54" i="29"/>
  <c r="AA54" i="29" s="1"/>
  <c r="X40" i="29"/>
  <c r="Z40" i="29" s="1"/>
  <c r="AB66" i="29"/>
  <c r="AA66" i="29" s="1"/>
  <c r="X65" i="29"/>
  <c r="Z65" i="29" s="1"/>
  <c r="X34" i="29"/>
  <c r="Z34" i="29" s="1"/>
  <c r="AB19" i="26"/>
  <c r="AA19" i="26" s="1"/>
  <c r="AB14" i="26"/>
  <c r="AA14" i="26" s="1"/>
  <c r="AB22" i="26"/>
  <c r="AA22" i="26" s="1"/>
  <c r="AB27" i="26"/>
  <c r="AA27" i="26" s="1"/>
  <c r="X32" i="26"/>
  <c r="Z32" i="26" s="1"/>
  <c r="X40" i="26"/>
  <c r="Y40" i="26" s="1"/>
  <c r="AB45" i="26"/>
  <c r="AA45" i="26" s="1"/>
  <c r="AB50" i="26"/>
  <c r="AA50" i="26" s="1"/>
  <c r="AB29" i="26"/>
  <c r="AA29" i="26" s="1"/>
  <c r="AB56" i="26"/>
  <c r="AA56" i="26" s="1"/>
  <c r="X24" i="26"/>
  <c r="Z24" i="26" s="1"/>
  <c r="X53" i="26"/>
  <c r="X62" i="26"/>
  <c r="AB21" i="26"/>
  <c r="AA21" i="26" s="1"/>
  <c r="AB35" i="26"/>
  <c r="AA35" i="26" s="1"/>
  <c r="AB53" i="26"/>
  <c r="AA53" i="26" s="1"/>
  <c r="AB58" i="26"/>
  <c r="AA58" i="26" s="1"/>
  <c r="X61" i="26"/>
  <c r="Y61" i="26" s="1"/>
  <c r="AB16" i="26"/>
  <c r="AA16" i="26" s="1"/>
  <c r="AB28" i="26"/>
  <c r="AA28" i="26" s="1"/>
  <c r="X43" i="26"/>
  <c r="AB41" i="26"/>
  <c r="AA41" i="26" s="1"/>
  <c r="AC41" i="26" s="1"/>
  <c r="X46" i="26"/>
  <c r="Z46" i="26" s="1"/>
  <c r="AB63" i="26"/>
  <c r="AA63" i="26" s="1"/>
  <c r="AB31" i="26"/>
  <c r="AA31" i="26" s="1"/>
  <c r="X59" i="26"/>
  <c r="Z59" i="26" s="1"/>
  <c r="AB39" i="26"/>
  <c r="AA39" i="26" s="1"/>
  <c r="AB44" i="26"/>
  <c r="AA44" i="26" s="1"/>
  <c r="X49" i="26"/>
  <c r="Z49" i="26" s="1"/>
  <c r="AB25" i="26"/>
  <c r="AA25" i="26" s="1"/>
  <c r="X29" i="26"/>
  <c r="Z29" i="26" s="1"/>
  <c r="AB30" i="26"/>
  <c r="AA30" i="26" s="1"/>
  <c r="X58" i="26"/>
  <c r="Y58" i="26" s="1"/>
  <c r="AC58" i="26" s="1"/>
  <c r="X13" i="28"/>
  <c r="Z13" i="28" s="1"/>
  <c r="X13" i="31"/>
  <c r="Z13" i="31" s="1"/>
  <c r="AC14" i="31"/>
  <c r="Z14" i="31"/>
  <c r="X13" i="34"/>
  <c r="Z13" i="34" s="1"/>
  <c r="Y13" i="34"/>
  <c r="X13" i="32"/>
  <c r="Y13" i="32" s="1"/>
  <c r="AC13" i="32" s="1"/>
  <c r="Y15" i="32"/>
  <c r="Z14" i="30"/>
  <c r="Y15" i="30"/>
  <c r="AC15" i="30" s="1"/>
  <c r="Y12" i="29"/>
  <c r="AC12" i="29" s="1"/>
  <c r="Z13" i="33"/>
  <c r="Z63" i="34"/>
  <c r="Y63" i="34"/>
  <c r="Y15" i="34"/>
  <c r="Z15" i="34"/>
  <c r="AC17" i="34"/>
  <c r="Z21" i="34"/>
  <c r="Y21" i="34"/>
  <c r="AC21" i="34" s="1"/>
  <c r="Z49" i="34"/>
  <c r="Y49" i="34"/>
  <c r="AC45" i="34"/>
  <c r="AC48" i="34"/>
  <c r="AC16" i="34"/>
  <c r="Z36" i="34"/>
  <c r="Y36" i="34"/>
  <c r="AC36" i="34" s="1"/>
  <c r="AC62" i="34"/>
  <c r="Y67" i="34"/>
  <c r="Z67" i="34"/>
  <c r="Z69" i="34"/>
  <c r="Y69" i="34"/>
  <c r="AC69" i="34" s="1"/>
  <c r="Y19" i="34"/>
  <c r="AC19" i="34" s="1"/>
  <c r="Z19" i="34"/>
  <c r="Z24" i="34"/>
  <c r="Y24" i="34"/>
  <c r="AC24" i="34" s="1"/>
  <c r="Y50" i="34"/>
  <c r="Z50" i="34"/>
  <c r="AC13" i="34"/>
  <c r="AC27" i="34"/>
  <c r="Z32" i="34"/>
  <c r="Y32" i="34"/>
  <c r="AC44" i="34"/>
  <c r="AC61" i="34"/>
  <c r="Z33" i="34"/>
  <c r="Y33" i="34"/>
  <c r="AC33" i="34" s="1"/>
  <c r="Z18" i="34"/>
  <c r="Y18" i="34"/>
  <c r="AC46" i="34"/>
  <c r="Z55" i="34"/>
  <c r="Y55" i="34"/>
  <c r="AC55" i="34" s="1"/>
  <c r="Z38" i="34"/>
  <c r="Y38" i="34"/>
  <c r="AC38" i="34" s="1"/>
  <c r="AC65" i="34"/>
  <c r="AC31" i="34"/>
  <c r="Z35" i="34"/>
  <c r="Y35" i="34"/>
  <c r="Z66" i="34"/>
  <c r="Y66" i="34"/>
  <c r="AC66" i="34" s="1"/>
  <c r="Z14" i="34"/>
  <c r="Z17" i="34"/>
  <c r="X22" i="34"/>
  <c r="AB26" i="34"/>
  <c r="AA26" i="34" s="1"/>
  <c r="AB29" i="34"/>
  <c r="AA29" i="34" s="1"/>
  <c r="Z31" i="34"/>
  <c r="Z34" i="34"/>
  <c r="AB43" i="34"/>
  <c r="AA43" i="34" s="1"/>
  <c r="Z45" i="34"/>
  <c r="Z48" i="34"/>
  <c r="X53" i="34"/>
  <c r="AB57" i="34"/>
  <c r="AA57" i="34" s="1"/>
  <c r="AB60" i="34"/>
  <c r="AA60" i="34" s="1"/>
  <c r="Z62" i="34"/>
  <c r="Z65" i="34"/>
  <c r="AB14" i="34"/>
  <c r="AA14" i="34" s="1"/>
  <c r="AC14" i="34" s="1"/>
  <c r="AB17" i="34"/>
  <c r="AA17" i="34" s="1"/>
  <c r="Y20" i="34"/>
  <c r="AC20" i="34" s="1"/>
  <c r="Y23" i="34"/>
  <c r="AC23" i="34" s="1"/>
  <c r="AB34" i="34"/>
  <c r="AA34" i="34" s="1"/>
  <c r="AC34" i="34" s="1"/>
  <c r="Y37" i="34"/>
  <c r="AC37" i="34" s="1"/>
  <c r="I40" i="34"/>
  <c r="Y40" i="34"/>
  <c r="AC40" i="34" s="1"/>
  <c r="X41" i="34"/>
  <c r="Y51" i="34"/>
  <c r="AC51" i="34" s="1"/>
  <c r="Y54" i="34"/>
  <c r="AC54" i="34" s="1"/>
  <c r="Y68" i="34"/>
  <c r="AC68" i="34" s="1"/>
  <c r="I10" i="34"/>
  <c r="X10" i="34" s="1"/>
  <c r="AB15" i="34"/>
  <c r="AA15" i="34" s="1"/>
  <c r="AB18" i="34"/>
  <c r="AA18" i="34" s="1"/>
  <c r="X25" i="34"/>
  <c r="X28" i="34"/>
  <c r="AB32" i="34"/>
  <c r="AA32" i="34" s="1"/>
  <c r="AB35" i="34"/>
  <c r="AA35" i="34" s="1"/>
  <c r="X39" i="34"/>
  <c r="X42" i="34"/>
  <c r="AB49" i="34"/>
  <c r="AA49" i="34" s="1"/>
  <c r="X56" i="34"/>
  <c r="X59" i="34"/>
  <c r="AB63" i="34"/>
  <c r="AA63" i="34" s="1"/>
  <c r="AB66" i="34"/>
  <c r="AA66" i="34" s="1"/>
  <c r="AB19" i="34"/>
  <c r="AA19" i="34" s="1"/>
  <c r="AB22" i="34"/>
  <c r="AA22" i="34" s="1"/>
  <c r="X26" i="34"/>
  <c r="X29" i="34"/>
  <c r="AB36" i="34"/>
  <c r="AA36" i="34" s="1"/>
  <c r="X43" i="34"/>
  <c r="AB50" i="34"/>
  <c r="AA50" i="34" s="1"/>
  <c r="AB53" i="34"/>
  <c r="AA53" i="34" s="1"/>
  <c r="X57" i="34"/>
  <c r="X60" i="34"/>
  <c r="AB67" i="34"/>
  <c r="AA67" i="34" s="1"/>
  <c r="Z23" i="33"/>
  <c r="Y23" i="33"/>
  <c r="AC33" i="33"/>
  <c r="Z59" i="33"/>
  <c r="Y59" i="33"/>
  <c r="AC59" i="33" s="1"/>
  <c r="Y37" i="33"/>
  <c r="AC13" i="33"/>
  <c r="Y65" i="33"/>
  <c r="AC65" i="33" s="1"/>
  <c r="Z65" i="33"/>
  <c r="AC16" i="33"/>
  <c r="Y34" i="33"/>
  <c r="Z34" i="33"/>
  <c r="Y48" i="33"/>
  <c r="Z48" i="33"/>
  <c r="Y62" i="33"/>
  <c r="Z62" i="33"/>
  <c r="Z40" i="33"/>
  <c r="Y40" i="33"/>
  <c r="Z42" i="33"/>
  <c r="Y42" i="33"/>
  <c r="AC42" i="33" s="1"/>
  <c r="Z20" i="33"/>
  <c r="Y20" i="33"/>
  <c r="Y56" i="33"/>
  <c r="AC56" i="33" s="1"/>
  <c r="Y17" i="33"/>
  <c r="Z17" i="33"/>
  <c r="Z54" i="33"/>
  <c r="Y54" i="33"/>
  <c r="Y14" i="33"/>
  <c r="Z14" i="33"/>
  <c r="Z25" i="33"/>
  <c r="Y25" i="33"/>
  <c r="AC25" i="33" s="1"/>
  <c r="Y31" i="33"/>
  <c r="Z31" i="33"/>
  <c r="Z51" i="33"/>
  <c r="Y51" i="33"/>
  <c r="Y18" i="33"/>
  <c r="I21" i="33"/>
  <c r="Y21" i="33"/>
  <c r="Y32" i="33"/>
  <c r="Y49" i="33"/>
  <c r="Y52" i="33"/>
  <c r="Y66" i="33"/>
  <c r="AC66" i="33" s="1"/>
  <c r="X10" i="33"/>
  <c r="Y19" i="33"/>
  <c r="AC19" i="33" s="1"/>
  <c r="Y22" i="33"/>
  <c r="AC22" i="33" s="1"/>
  <c r="Y36" i="33"/>
  <c r="AC36" i="33" s="1"/>
  <c r="I39" i="33"/>
  <c r="Y39" i="33"/>
  <c r="AC39" i="33" s="1"/>
  <c r="Y50" i="33"/>
  <c r="AC50" i="33" s="1"/>
  <c r="Y53" i="33"/>
  <c r="AC53" i="33" s="1"/>
  <c r="X57" i="33"/>
  <c r="Y67" i="33"/>
  <c r="AC67" i="33" s="1"/>
  <c r="X68" i="33"/>
  <c r="AB14" i="33"/>
  <c r="AA14" i="33" s="1"/>
  <c r="AB17" i="33"/>
  <c r="AA17" i="33" s="1"/>
  <c r="X24" i="33"/>
  <c r="X27" i="33"/>
  <c r="AB31" i="33"/>
  <c r="AA31" i="33" s="1"/>
  <c r="AB34" i="33"/>
  <c r="AA34" i="33" s="1"/>
  <c r="X38" i="33"/>
  <c r="X41" i="33"/>
  <c r="AB48" i="33"/>
  <c r="AA48" i="33" s="1"/>
  <c r="AB51" i="33"/>
  <c r="AA51" i="33" s="1"/>
  <c r="X55" i="33"/>
  <c r="X58" i="33"/>
  <c r="AB62" i="33"/>
  <c r="AA62" i="33" s="1"/>
  <c r="AB65" i="33"/>
  <c r="AA65" i="33" s="1"/>
  <c r="AB18" i="33"/>
  <c r="AA18" i="33" s="1"/>
  <c r="AB21" i="33"/>
  <c r="AA21" i="33" s="1"/>
  <c r="X28" i="33"/>
  <c r="AB32" i="33"/>
  <c r="AA32" i="33" s="1"/>
  <c r="AB35" i="33"/>
  <c r="AA35" i="33" s="1"/>
  <c r="AB49" i="33"/>
  <c r="AA49" i="33" s="1"/>
  <c r="AB52" i="33"/>
  <c r="AA52" i="33" s="1"/>
  <c r="AB66" i="33"/>
  <c r="AA66" i="33" s="1"/>
  <c r="Y12" i="33"/>
  <c r="AC12" i="33" s="1"/>
  <c r="AB23" i="33"/>
  <c r="AA23" i="33" s="1"/>
  <c r="Y26" i="33"/>
  <c r="AC26" i="33" s="1"/>
  <c r="AB37" i="33"/>
  <c r="AA37" i="33" s="1"/>
  <c r="AB40" i="33"/>
  <c r="AA40" i="33" s="1"/>
  <c r="AB54" i="33"/>
  <c r="AA54" i="33" s="1"/>
  <c r="AB57" i="33"/>
  <c r="AA57" i="33" s="1"/>
  <c r="Z60" i="32"/>
  <c r="Y60" i="32"/>
  <c r="AC35" i="32"/>
  <c r="Z26" i="32"/>
  <c r="Y26" i="32"/>
  <c r="Z43" i="32"/>
  <c r="Y43" i="32"/>
  <c r="Y34" i="32"/>
  <c r="AC34" i="32" s="1"/>
  <c r="Z34" i="32"/>
  <c r="Y17" i="32"/>
  <c r="AC17" i="32" s="1"/>
  <c r="Z17" i="32"/>
  <c r="AC65" i="32"/>
  <c r="Y14" i="32"/>
  <c r="AC14" i="32" s="1"/>
  <c r="Z14" i="32"/>
  <c r="AC30" i="32"/>
  <c r="AC64" i="32"/>
  <c r="Y45" i="32"/>
  <c r="AC45" i="32" s="1"/>
  <c r="Z45" i="32"/>
  <c r="Z57" i="32"/>
  <c r="Y57" i="32"/>
  <c r="AC57" i="32" s="1"/>
  <c r="AC36" i="32"/>
  <c r="AB26" i="32"/>
  <c r="AA26" i="32" s="1"/>
  <c r="AB29" i="32"/>
  <c r="AA29" i="32" s="1"/>
  <c r="AB43" i="32"/>
  <c r="AA43" i="32" s="1"/>
  <c r="AB57" i="32"/>
  <c r="AA57" i="32" s="1"/>
  <c r="AB60" i="32"/>
  <c r="AA60" i="32" s="1"/>
  <c r="X10" i="32"/>
  <c r="Y20" i="32"/>
  <c r="AC20" i="32" s="1"/>
  <c r="X21" i="32"/>
  <c r="Y23" i="32"/>
  <c r="AC23" i="32" s="1"/>
  <c r="X24" i="32"/>
  <c r="AB34" i="32"/>
  <c r="AA34" i="32" s="1"/>
  <c r="Y37" i="32"/>
  <c r="X38" i="32"/>
  <c r="I40" i="32"/>
  <c r="Y40" i="32"/>
  <c r="AC40" i="32" s="1"/>
  <c r="X41" i="32"/>
  <c r="Y51" i="32"/>
  <c r="AC51" i="32" s="1"/>
  <c r="Y54" i="32"/>
  <c r="AC54" i="32" s="1"/>
  <c r="X55" i="32"/>
  <c r="X58" i="32"/>
  <c r="Y68" i="32"/>
  <c r="AC68" i="32" s="1"/>
  <c r="X69" i="32"/>
  <c r="AB15" i="32"/>
  <c r="AA15" i="32" s="1"/>
  <c r="AB18" i="32"/>
  <c r="AA18" i="32" s="1"/>
  <c r="AC18" i="32" s="1"/>
  <c r="X25" i="32"/>
  <c r="X28" i="32"/>
  <c r="AB35" i="32"/>
  <c r="AA35" i="32" s="1"/>
  <c r="X39" i="32"/>
  <c r="X42" i="32"/>
  <c r="X56" i="32"/>
  <c r="X59" i="32"/>
  <c r="X29" i="32"/>
  <c r="AB50" i="32"/>
  <c r="AA50" i="32" s="1"/>
  <c r="AC50" i="32" s="1"/>
  <c r="AB20" i="32"/>
  <c r="AA20" i="32" s="1"/>
  <c r="AB23" i="32"/>
  <c r="AA23" i="32" s="1"/>
  <c r="AB37" i="32"/>
  <c r="AA37" i="32" s="1"/>
  <c r="AB40" i="32"/>
  <c r="AA40" i="32" s="1"/>
  <c r="Y46" i="32"/>
  <c r="AC46" i="32" s="1"/>
  <c r="AB58" i="32"/>
  <c r="AA58" i="32" s="1"/>
  <c r="Z32" i="31"/>
  <c r="Y32" i="31"/>
  <c r="Z21" i="31"/>
  <c r="Y21" i="31"/>
  <c r="AC21" i="31" s="1"/>
  <c r="AC26" i="31"/>
  <c r="AC34" i="31"/>
  <c r="AC43" i="31"/>
  <c r="AC57" i="31"/>
  <c r="Z18" i="31"/>
  <c r="Y18" i="31"/>
  <c r="AC63" i="31"/>
  <c r="Z38" i="31"/>
  <c r="Y38" i="31"/>
  <c r="Z24" i="31"/>
  <c r="Y24" i="31"/>
  <c r="Y35" i="31"/>
  <c r="Z35" i="31"/>
  <c r="Z41" i="31"/>
  <c r="Y41" i="31"/>
  <c r="AC41" i="31" s="1"/>
  <c r="AC48" i="31"/>
  <c r="AC62" i="31"/>
  <c r="Z20" i="31"/>
  <c r="Y20" i="31"/>
  <c r="AC20" i="31" s="1"/>
  <c r="AC31" i="31"/>
  <c r="Y15" i="31"/>
  <c r="AC15" i="31" s="1"/>
  <c r="Z15" i="31"/>
  <c r="AC61" i="31"/>
  <c r="AB16" i="31"/>
  <c r="AA16" i="31" s="1"/>
  <c r="Y19" i="31"/>
  <c r="I22" i="31"/>
  <c r="Y22" i="31"/>
  <c r="AC22" i="31" s="1"/>
  <c r="X23" i="31"/>
  <c r="AB30" i="31"/>
  <c r="AA30" i="31" s="1"/>
  <c r="Y33" i="31"/>
  <c r="AC33" i="31" s="1"/>
  <c r="Y36" i="31"/>
  <c r="AC36" i="31" s="1"/>
  <c r="X37" i="31"/>
  <c r="X40" i="31"/>
  <c r="AB44" i="31"/>
  <c r="AA44" i="31" s="1"/>
  <c r="AB47" i="31"/>
  <c r="AA47" i="31" s="1"/>
  <c r="Y50" i="31"/>
  <c r="AC50" i="31" s="1"/>
  <c r="X51" i="31"/>
  <c r="Y53" i="31"/>
  <c r="AC53" i="31" s="1"/>
  <c r="X54" i="31"/>
  <c r="AB61" i="31"/>
  <c r="AA61" i="31" s="1"/>
  <c r="AB64" i="31"/>
  <c r="AA64" i="31" s="1"/>
  <c r="AC64" i="31" s="1"/>
  <c r="Y67" i="31"/>
  <c r="AC67" i="31" s="1"/>
  <c r="X68" i="31"/>
  <c r="X10" i="31"/>
  <c r="X55" i="31"/>
  <c r="X58" i="31"/>
  <c r="X69" i="31"/>
  <c r="AB18" i="31"/>
  <c r="AA18" i="31" s="1"/>
  <c r="X25" i="31"/>
  <c r="AB32" i="31"/>
  <c r="AA32" i="31" s="1"/>
  <c r="AB35" i="31"/>
  <c r="AA35" i="31" s="1"/>
  <c r="X39" i="31"/>
  <c r="X42" i="31"/>
  <c r="AB49" i="31"/>
  <c r="AA49" i="31" s="1"/>
  <c r="AC49" i="31" s="1"/>
  <c r="AB52" i="31"/>
  <c r="AA52" i="31" s="1"/>
  <c r="AC52" i="31" s="1"/>
  <c r="X56" i="31"/>
  <c r="X59" i="31"/>
  <c r="AB66" i="31"/>
  <c r="AA66" i="31" s="1"/>
  <c r="AC66" i="31" s="1"/>
  <c r="AB19" i="31"/>
  <c r="AA19" i="31" s="1"/>
  <c r="AB33" i="31"/>
  <c r="AA33" i="31" s="1"/>
  <c r="AB36" i="31"/>
  <c r="AA36" i="31" s="1"/>
  <c r="Y13" i="31"/>
  <c r="AC13" i="31" s="1"/>
  <c r="Y16" i="31"/>
  <c r="AC16" i="31" s="1"/>
  <c r="AB24" i="31"/>
  <c r="AA24" i="31" s="1"/>
  <c r="Y27" i="31"/>
  <c r="AC27" i="31" s="1"/>
  <c r="Y30" i="31"/>
  <c r="AC30" i="31" s="1"/>
  <c r="AB38" i="31"/>
  <c r="AA38" i="31" s="1"/>
  <c r="AB41" i="31"/>
  <c r="AA41" i="31" s="1"/>
  <c r="Y44" i="31"/>
  <c r="Y47" i="31"/>
  <c r="AC47" i="31" s="1"/>
  <c r="AB58" i="31"/>
  <c r="AA58" i="31" s="1"/>
  <c r="AC18" i="30"/>
  <c r="Z47" i="30"/>
  <c r="Y47" i="30"/>
  <c r="AC49" i="30"/>
  <c r="AC48" i="30"/>
  <c r="Z28" i="30"/>
  <c r="Y28" i="30"/>
  <c r="AC28" i="30" s="1"/>
  <c r="Z61" i="30"/>
  <c r="Y61" i="30"/>
  <c r="Z13" i="30"/>
  <c r="Y13" i="30"/>
  <c r="AC14" i="30"/>
  <c r="AC66" i="30"/>
  <c r="Z30" i="30"/>
  <c r="Y30" i="30"/>
  <c r="Z44" i="30"/>
  <c r="Y44" i="30"/>
  <c r="Z27" i="30"/>
  <c r="Y27" i="30"/>
  <c r="AC27" i="30" s="1"/>
  <c r="AC31" i="30"/>
  <c r="AC45" i="30"/>
  <c r="Z57" i="30"/>
  <c r="Y57" i="30"/>
  <c r="AC57" i="30" s="1"/>
  <c r="AB13" i="30"/>
  <c r="AA13" i="30" s="1"/>
  <c r="Y19" i="30"/>
  <c r="AC19" i="30" s="1"/>
  <c r="X20" i="30"/>
  <c r="I22" i="30"/>
  <c r="Y22" i="30"/>
  <c r="X23" i="30"/>
  <c r="AB27" i="30"/>
  <c r="AA27" i="30" s="1"/>
  <c r="AB30" i="30"/>
  <c r="AA30" i="30" s="1"/>
  <c r="Y33" i="30"/>
  <c r="AC33" i="30" s="1"/>
  <c r="Y36" i="30"/>
  <c r="X37" i="30"/>
  <c r="X40" i="30"/>
  <c r="AB44" i="30"/>
  <c r="AA44" i="30" s="1"/>
  <c r="AB47" i="30"/>
  <c r="AA47" i="30" s="1"/>
  <c r="Y50" i="30"/>
  <c r="X51" i="30"/>
  <c r="Y53" i="30"/>
  <c r="AC53" i="30" s="1"/>
  <c r="X54" i="30"/>
  <c r="AB61" i="30"/>
  <c r="AA61" i="30" s="1"/>
  <c r="Y67" i="30"/>
  <c r="AC67" i="30" s="1"/>
  <c r="X68" i="30"/>
  <c r="X21" i="30"/>
  <c r="X24" i="30"/>
  <c r="X38" i="30"/>
  <c r="X41" i="30"/>
  <c r="X55" i="30"/>
  <c r="X58" i="30"/>
  <c r="X69" i="30"/>
  <c r="I10" i="30"/>
  <c r="X10" i="30" s="1"/>
  <c r="X25" i="30"/>
  <c r="X39" i="30"/>
  <c r="X42" i="30"/>
  <c r="X56" i="30"/>
  <c r="I58" i="30"/>
  <c r="X59" i="30"/>
  <c r="AB19" i="30"/>
  <c r="AA19" i="30" s="1"/>
  <c r="AB22" i="30"/>
  <c r="AA22" i="30" s="1"/>
  <c r="X26" i="30"/>
  <c r="X29" i="30"/>
  <c r="AB36" i="30"/>
  <c r="AA36" i="30" s="1"/>
  <c r="X43" i="30"/>
  <c r="X46" i="30"/>
  <c r="AB50" i="30"/>
  <c r="AA50" i="30" s="1"/>
  <c r="AB53" i="30"/>
  <c r="AA53" i="30" s="1"/>
  <c r="X60" i="30"/>
  <c r="AB24" i="30"/>
  <c r="AA24" i="30" s="1"/>
  <c r="AB38" i="30"/>
  <c r="AA38" i="30" s="1"/>
  <c r="AB41" i="30"/>
  <c r="AA41" i="30" s="1"/>
  <c r="AB55" i="30"/>
  <c r="AA55" i="30" s="1"/>
  <c r="AB58" i="30"/>
  <c r="AA58" i="30" s="1"/>
  <c r="Y11" i="29"/>
  <c r="Z11" i="29"/>
  <c r="Z23" i="29"/>
  <c r="Y23" i="29"/>
  <c r="AC23" i="29" s="1"/>
  <c r="Y28" i="29"/>
  <c r="Z28" i="29"/>
  <c r="AC49" i="29"/>
  <c r="Y54" i="29"/>
  <c r="Y62" i="29"/>
  <c r="Z62" i="29"/>
  <c r="Y42" i="29"/>
  <c r="Y45" i="29"/>
  <c r="Z45" i="29"/>
  <c r="Y59" i="29"/>
  <c r="Z59" i="29"/>
  <c r="Y31" i="29"/>
  <c r="Z31" i="29"/>
  <c r="Y30" i="29"/>
  <c r="AC30" i="29" s="1"/>
  <c r="Y33" i="29"/>
  <c r="AC33" i="29" s="1"/>
  <c r="Y50" i="29"/>
  <c r="AC50" i="29" s="1"/>
  <c r="Y64" i="29"/>
  <c r="AC64" i="29" s="1"/>
  <c r="I19" i="29"/>
  <c r="Y19" i="29"/>
  <c r="AC19" i="29" s="1"/>
  <c r="X10" i="29"/>
  <c r="AB11" i="29"/>
  <c r="AA11" i="29" s="1"/>
  <c r="AB14" i="29"/>
  <c r="AA14" i="29" s="1"/>
  <c r="X18" i="29"/>
  <c r="Y20" i="29"/>
  <c r="X21" i="29"/>
  <c r="AB28" i="29"/>
  <c r="AA28" i="29" s="1"/>
  <c r="AB31" i="29"/>
  <c r="AA31" i="29" s="1"/>
  <c r="Y34" i="29"/>
  <c r="X35" i="29"/>
  <c r="I37" i="29"/>
  <c r="Y37" i="29"/>
  <c r="X38" i="29"/>
  <c r="AB42" i="29"/>
  <c r="AA42" i="29" s="1"/>
  <c r="AB45" i="29"/>
  <c r="AA45" i="29" s="1"/>
  <c r="X52" i="29"/>
  <c r="X55" i="29"/>
  <c r="AB59" i="29"/>
  <c r="AA59" i="29" s="1"/>
  <c r="AB62" i="29"/>
  <c r="AA62" i="29" s="1"/>
  <c r="Y65" i="29"/>
  <c r="AC65" i="29" s="1"/>
  <c r="X66" i="29"/>
  <c r="X22" i="29"/>
  <c r="X25" i="29"/>
  <c r="X36" i="29"/>
  <c r="X39" i="29"/>
  <c r="X53" i="29"/>
  <c r="X56" i="29"/>
  <c r="X26" i="29"/>
  <c r="X13" i="29"/>
  <c r="AB20" i="29"/>
  <c r="AA20" i="29" s="1"/>
  <c r="X27" i="29"/>
  <c r="AB37" i="29"/>
  <c r="AA37" i="29" s="1"/>
  <c r="X41" i="29"/>
  <c r="Y43" i="29"/>
  <c r="AC43" i="29" s="1"/>
  <c r="X44" i="29"/>
  <c r="AB51" i="29"/>
  <c r="AA51" i="29" s="1"/>
  <c r="X58" i="29"/>
  <c r="X61" i="29"/>
  <c r="AB55" i="29"/>
  <c r="AA55" i="29" s="1"/>
  <c r="X10" i="28"/>
  <c r="Z10" i="28" s="1"/>
  <c r="X11" i="28" s="1"/>
  <c r="Z32" i="28"/>
  <c r="Y32" i="28"/>
  <c r="Y45" i="28"/>
  <c r="Z45" i="28"/>
  <c r="Z49" i="28"/>
  <c r="Y49" i="28"/>
  <c r="AC52" i="28"/>
  <c r="AC64" i="28"/>
  <c r="Z27" i="28"/>
  <c r="Y27" i="28"/>
  <c r="AC27" i="28" s="1"/>
  <c r="Z39" i="28"/>
  <c r="Y39" i="28"/>
  <c r="AC39" i="28" s="1"/>
  <c r="Z15" i="28"/>
  <c r="Y15" i="28"/>
  <c r="Z35" i="28"/>
  <c r="Y35" i="28"/>
  <c r="Z56" i="28"/>
  <c r="Y56" i="28"/>
  <c r="AC56" i="28" s="1"/>
  <c r="AC66" i="28"/>
  <c r="Y13" i="28"/>
  <c r="AC13" i="28" s="1"/>
  <c r="Z16" i="28"/>
  <c r="Y16" i="28"/>
  <c r="AC16" i="28" s="1"/>
  <c r="Z30" i="28"/>
  <c r="Y30" i="28"/>
  <c r="AC30" i="28" s="1"/>
  <c r="Z44" i="28"/>
  <c r="Y44" i="28"/>
  <c r="AC44" i="28" s="1"/>
  <c r="AC47" i="28"/>
  <c r="Z59" i="28"/>
  <c r="Y59" i="28"/>
  <c r="AC59" i="28" s="1"/>
  <c r="Z18" i="28"/>
  <c r="Y18" i="28"/>
  <c r="Z33" i="28"/>
  <c r="Y33" i="28"/>
  <c r="AC33" i="28" s="1"/>
  <c r="Z63" i="28"/>
  <c r="Y63" i="28"/>
  <c r="X19" i="28"/>
  <c r="X22" i="28"/>
  <c r="AB26" i="28"/>
  <c r="AA26" i="28" s="1"/>
  <c r="AB29" i="28"/>
  <c r="AA29" i="28" s="1"/>
  <c r="X36" i="28"/>
  <c r="AB43" i="28"/>
  <c r="AA43" i="28" s="1"/>
  <c r="X50" i="28"/>
  <c r="X53" i="28"/>
  <c r="AB57" i="28"/>
  <c r="AA57" i="28" s="1"/>
  <c r="AB60" i="28"/>
  <c r="AA60" i="28" s="1"/>
  <c r="X67" i="28"/>
  <c r="AB14" i="28"/>
  <c r="AA14" i="28" s="1"/>
  <c r="AB17" i="28"/>
  <c r="AA17" i="28" s="1"/>
  <c r="Y20" i="28"/>
  <c r="AC20" i="28" s="1"/>
  <c r="X21" i="28"/>
  <c r="Y23" i="28"/>
  <c r="AC23" i="28" s="1"/>
  <c r="X24" i="28"/>
  <c r="AB31" i="28"/>
  <c r="AA31" i="28" s="1"/>
  <c r="AB34" i="28"/>
  <c r="AA34" i="28" s="1"/>
  <c r="Y37" i="28"/>
  <c r="AC37" i="28" s="1"/>
  <c r="X38" i="28"/>
  <c r="I40" i="28"/>
  <c r="Y40" i="28"/>
  <c r="X41" i="28"/>
  <c r="AB45" i="28"/>
  <c r="AA45" i="28" s="1"/>
  <c r="Y51" i="28"/>
  <c r="AC51" i="28" s="1"/>
  <c r="Y54" i="28"/>
  <c r="AC54" i="28" s="1"/>
  <c r="X55" i="28"/>
  <c r="X58" i="28"/>
  <c r="Y68" i="28"/>
  <c r="AC68" i="28" s="1"/>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Y45" i="27"/>
  <c r="Z45" i="27"/>
  <c r="Z32" i="27"/>
  <c r="Y32" i="27"/>
  <c r="Z62" i="26"/>
  <c r="Y62" i="26"/>
  <c r="Z18" i="27"/>
  <c r="Y18" i="27"/>
  <c r="AC18" i="27" s="1"/>
  <c r="Z35" i="27"/>
  <c r="Y35" i="27"/>
  <c r="AC35" i="27" s="1"/>
  <c r="Z49" i="27"/>
  <c r="Y49" i="27"/>
  <c r="AC49" i="27" s="1"/>
  <c r="Y31" i="27"/>
  <c r="Z31" i="27"/>
  <c r="X28" i="26"/>
  <c r="X48" i="26"/>
  <c r="AB61" i="26"/>
  <c r="AA61" i="26" s="1"/>
  <c r="AB65" i="26"/>
  <c r="AA65" i="26" s="1"/>
  <c r="X17" i="27"/>
  <c r="X57" i="27"/>
  <c r="X18" i="26"/>
  <c r="Z18" i="26" s="1"/>
  <c r="X26" i="26"/>
  <c r="Z26" i="26" s="1"/>
  <c r="X31" i="26"/>
  <c r="X45" i="26"/>
  <c r="AB64" i="26"/>
  <c r="AA64" i="26" s="1"/>
  <c r="AC14" i="27"/>
  <c r="AB18" i="27"/>
  <c r="AA18" i="27" s="1"/>
  <c r="AB29" i="27"/>
  <c r="AA29" i="27" s="1"/>
  <c r="AB32" i="27"/>
  <c r="AA32" i="27" s="1"/>
  <c r="AC34" i="27"/>
  <c r="AC48" i="27"/>
  <c r="X63" i="27"/>
  <c r="X66" i="27"/>
  <c r="X14" i="26"/>
  <c r="Z14" i="26" s="1"/>
  <c r="Z27" i="26"/>
  <c r="X30" i="26"/>
  <c r="X44" i="26"/>
  <c r="AB48" i="26"/>
  <c r="AA48" i="26" s="1"/>
  <c r="X63" i="26"/>
  <c r="Z63" i="26" s="1"/>
  <c r="AB20" i="27"/>
  <c r="AA20" i="27" s="1"/>
  <c r="AB33" i="27"/>
  <c r="AA33" i="27" s="1"/>
  <c r="AB34" i="27"/>
  <c r="AA34" i="27" s="1"/>
  <c r="AB39" i="27"/>
  <c r="AA39" i="27" s="1"/>
  <c r="X44" i="27"/>
  <c r="Z44" i="27" s="1"/>
  <c r="AB54" i="27"/>
  <c r="AA54" i="27" s="1"/>
  <c r="X62" i="27"/>
  <c r="AB17" i="26"/>
  <c r="AA17" i="26" s="1"/>
  <c r="X23" i="26"/>
  <c r="Z23" i="26" s="1"/>
  <c r="AB42" i="26"/>
  <c r="AA42" i="26" s="1"/>
  <c r="AB52" i="26"/>
  <c r="AA52" i="26" s="1"/>
  <c r="X57" i="26"/>
  <c r="Z57" i="26" s="1"/>
  <c r="AB25" i="27"/>
  <c r="AA25" i="27" s="1"/>
  <c r="AB51" i="27"/>
  <c r="AA51" i="27" s="1"/>
  <c r="AB59" i="27"/>
  <c r="AA59" i="27" s="1"/>
  <c r="X65" i="27"/>
  <c r="AB33" i="26"/>
  <c r="AA33" i="26" s="1"/>
  <c r="AB47" i="26"/>
  <c r="AA47" i="26" s="1"/>
  <c r="Z58" i="26"/>
  <c r="AB65" i="27"/>
  <c r="AA65" i="27" s="1"/>
  <c r="AB69" i="27"/>
  <c r="AA69" i="27" s="1"/>
  <c r="AC27" i="26"/>
  <c r="X15" i="26"/>
  <c r="Z15" i="26" s="1"/>
  <c r="AB38" i="26"/>
  <c r="AA38" i="26" s="1"/>
  <c r="Z41" i="26"/>
  <c r="AB62" i="26"/>
  <c r="AA62" i="26" s="1"/>
  <c r="X22" i="27"/>
  <c r="Z22" i="27" s="1"/>
  <c r="Y52" i="27"/>
  <c r="AC52" i="27" s="1"/>
  <c r="AB68" i="27"/>
  <c r="AA68" i="27" s="1"/>
  <c r="X12" i="26"/>
  <c r="Z12" i="26" s="1"/>
  <c r="X13" i="26" s="1"/>
  <c r="Z14" i="27"/>
  <c r="Y15" i="27"/>
  <c r="AC15" i="27" s="1"/>
  <c r="AC31" i="27"/>
  <c r="Z47" i="27"/>
  <c r="Y47" i="27"/>
  <c r="Z57" i="27"/>
  <c r="Y57" i="27"/>
  <c r="AC57" i="27" s="1"/>
  <c r="Z13" i="27"/>
  <c r="Y13" i="27"/>
  <c r="Z27" i="27"/>
  <c r="Y27" i="27"/>
  <c r="Z61" i="27"/>
  <c r="Y61" i="27"/>
  <c r="Z16" i="27"/>
  <c r="Y16" i="27"/>
  <c r="AC45" i="27"/>
  <c r="Z30" i="27"/>
  <c r="Y30" i="27"/>
  <c r="AC30" i="27" s="1"/>
  <c r="Z64" i="27"/>
  <c r="Y64" i="27"/>
  <c r="AB13" i="27"/>
  <c r="AA13" i="27" s="1"/>
  <c r="AB16" i="27"/>
  <c r="AA16" i="27" s="1"/>
  <c r="Y19" i="27"/>
  <c r="AC19" i="27" s="1"/>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Z43" i="26"/>
  <c r="Y43" i="26"/>
  <c r="Z40" i="26"/>
  <c r="Z53" i="26"/>
  <c r="Y53" i="26"/>
  <c r="Z60" i="26"/>
  <c r="Y60" i="26"/>
  <c r="X16" i="26"/>
  <c r="I18" i="26"/>
  <c r="X19" i="26"/>
  <c r="AB23" i="26"/>
  <c r="AA23" i="26" s="1"/>
  <c r="AB26" i="26"/>
  <c r="AA26" i="26" s="1"/>
  <c r="Y29" i="26"/>
  <c r="AC29" i="26" s="1"/>
  <c r="Y32" i="26"/>
  <c r="X33" i="26"/>
  <c r="X36" i="26"/>
  <c r="AB40" i="26"/>
  <c r="AA40" i="26" s="1"/>
  <c r="AB43" i="26"/>
  <c r="AA43" i="26" s="1"/>
  <c r="Y46" i="26"/>
  <c r="X47" i="26"/>
  <c r="Y49" i="26"/>
  <c r="X50" i="26"/>
  <c r="AB57" i="26"/>
  <c r="AA57" i="26" s="1"/>
  <c r="AB60" i="26"/>
  <c r="AA60" i="26" s="1"/>
  <c r="X64" i="26"/>
  <c r="X34" i="26"/>
  <c r="X37" i="26"/>
  <c r="X51" i="26"/>
  <c r="X54" i="26"/>
  <c r="X65" i="26"/>
  <c r="X20" i="26"/>
  <c r="X21" i="26"/>
  <c r="X35" i="26"/>
  <c r="X38" i="26"/>
  <c r="X52" i="26"/>
  <c r="I54" i="26"/>
  <c r="X55" i="26"/>
  <c r="AB15" i="26"/>
  <c r="AA15" i="26" s="1"/>
  <c r="AB18" i="26"/>
  <c r="AA18" i="26" s="1"/>
  <c r="X22" i="26"/>
  <c r="Y24" i="26"/>
  <c r="AC24" i="26" s="1"/>
  <c r="X25" i="26"/>
  <c r="AB32" i="26"/>
  <c r="AA32" i="26" s="1"/>
  <c r="X39" i="26"/>
  <c r="X42" i="26"/>
  <c r="AB46" i="26"/>
  <c r="AA46" i="26" s="1"/>
  <c r="AB49" i="26"/>
  <c r="AA49" i="26" s="1"/>
  <c r="X56" i="26"/>
  <c r="X17" i="26"/>
  <c r="I10" i="26"/>
  <c r="X10" i="26" s="1"/>
  <c r="AB34" i="26"/>
  <c r="AA34" i="26" s="1"/>
  <c r="AB37" i="26"/>
  <c r="AA37" i="26" s="1"/>
  <c r="AB51" i="26"/>
  <c r="AA51" i="26" s="1"/>
  <c r="AB54" i="26"/>
  <c r="AA54" i="26" s="1"/>
  <c r="AB20" i="26"/>
  <c r="AA20" i="26" s="1"/>
  <c r="T62" i="25"/>
  <c r="Q62" i="25"/>
  <c r="K62" i="25"/>
  <c r="T61" i="25"/>
  <c r="Q61" i="25"/>
  <c r="K61" i="25"/>
  <c r="T60" i="25"/>
  <c r="Q60" i="25"/>
  <c r="K60" i="25"/>
  <c r="T59" i="25"/>
  <c r="Q59" i="25"/>
  <c r="AB60" i="25" s="1"/>
  <c r="AA60" i="25" s="1"/>
  <c r="K59" i="25"/>
  <c r="T58" i="25"/>
  <c r="Q58" i="25"/>
  <c r="K58" i="25"/>
  <c r="T57" i="25"/>
  <c r="Q57" i="25"/>
  <c r="X57" i="25" s="1"/>
  <c r="H57" i="25"/>
  <c r="I57" i="25" s="1"/>
  <c r="T56" i="25"/>
  <c r="Q56" i="25"/>
  <c r="K56" i="25"/>
  <c r="T55" i="25"/>
  <c r="Q55" i="25"/>
  <c r="K55" i="25"/>
  <c r="T54" i="25"/>
  <c r="Q54" i="25"/>
  <c r="K54" i="25"/>
  <c r="T53" i="25"/>
  <c r="Q53" i="25"/>
  <c r="K53" i="25"/>
  <c r="T52" i="25"/>
  <c r="Q52" i="25"/>
  <c r="K52" i="25"/>
  <c r="T51" i="25"/>
  <c r="Q51" i="25"/>
  <c r="H51" i="25"/>
  <c r="T50" i="25"/>
  <c r="Q50" i="25"/>
  <c r="K50" i="25"/>
  <c r="T49" i="25"/>
  <c r="Q49" i="25"/>
  <c r="K49" i="25"/>
  <c r="T48" i="25"/>
  <c r="Q48" i="25"/>
  <c r="K48" i="25"/>
  <c r="T47" i="25"/>
  <c r="Q47" i="25"/>
  <c r="K47" i="25"/>
  <c r="T46" i="25"/>
  <c r="Q46" i="25"/>
  <c r="K46" i="25"/>
  <c r="T45" i="25"/>
  <c r="Q45" i="25"/>
  <c r="AB45" i="25" s="1"/>
  <c r="AA45" i="25" s="1"/>
  <c r="H45" i="25"/>
  <c r="I45" i="25" s="1"/>
  <c r="T44" i="25"/>
  <c r="Q44" i="25"/>
  <c r="K44" i="25"/>
  <c r="T43" i="25"/>
  <c r="Q43" i="25"/>
  <c r="K43" i="25"/>
  <c r="T42" i="25"/>
  <c r="Q42" i="25"/>
  <c r="K42" i="25"/>
  <c r="T41" i="25"/>
  <c r="Q41" i="25"/>
  <c r="K41" i="25"/>
  <c r="T40" i="25"/>
  <c r="Q40" i="25"/>
  <c r="K40" i="25"/>
  <c r="T39" i="25"/>
  <c r="Q39" i="25"/>
  <c r="H39" i="25"/>
  <c r="I39" i="25" s="1"/>
  <c r="T38" i="25"/>
  <c r="Q38" i="25"/>
  <c r="K38" i="25"/>
  <c r="T37" i="25"/>
  <c r="Q37" i="25"/>
  <c r="K37" i="25"/>
  <c r="T36" i="25"/>
  <c r="Q36" i="25"/>
  <c r="K36" i="25"/>
  <c r="T35" i="25"/>
  <c r="Q35" i="25"/>
  <c r="AB36" i="25" s="1"/>
  <c r="AA36" i="25" s="1"/>
  <c r="K35" i="25"/>
  <c r="T34" i="25"/>
  <c r="Q34" i="25"/>
  <c r="K34" i="25"/>
  <c r="T33" i="25"/>
  <c r="Q33" i="25"/>
  <c r="AB33" i="25" s="1"/>
  <c r="AA33" i="25" s="1"/>
  <c r="H33" i="25"/>
  <c r="I33" i="25" s="1"/>
  <c r="T32" i="25"/>
  <c r="Q32" i="25"/>
  <c r="K32" i="25"/>
  <c r="T31" i="25"/>
  <c r="Q31" i="25"/>
  <c r="K31" i="25"/>
  <c r="T30" i="25"/>
  <c r="Q30" i="25"/>
  <c r="K30" i="25"/>
  <c r="T29" i="25"/>
  <c r="Q29" i="25"/>
  <c r="K29" i="25"/>
  <c r="T28" i="25"/>
  <c r="Q28" i="25"/>
  <c r="K28" i="25"/>
  <c r="T27" i="25"/>
  <c r="Q27" i="25"/>
  <c r="X27" i="25" s="1"/>
  <c r="H27" i="25"/>
  <c r="I27" i="25" s="1"/>
  <c r="T26" i="25"/>
  <c r="Q26" i="25"/>
  <c r="K26" i="25"/>
  <c r="T25" i="25"/>
  <c r="Q25" i="25"/>
  <c r="K25" i="25"/>
  <c r="T24" i="25"/>
  <c r="Q24" i="25"/>
  <c r="K24" i="25"/>
  <c r="T23" i="25"/>
  <c r="Q23" i="25"/>
  <c r="K23" i="25"/>
  <c r="T22" i="25"/>
  <c r="Q22" i="25"/>
  <c r="K22" i="25"/>
  <c r="T21" i="25"/>
  <c r="Q21" i="25"/>
  <c r="AB21" i="25" s="1"/>
  <c r="AA21" i="25" s="1"/>
  <c r="H21" i="25"/>
  <c r="I21" i="25" s="1"/>
  <c r="T20" i="25"/>
  <c r="Q20" i="25"/>
  <c r="K20" i="25"/>
  <c r="T19" i="25"/>
  <c r="Q19" i="25"/>
  <c r="K19" i="25"/>
  <c r="T18" i="25"/>
  <c r="Q18" i="25"/>
  <c r="K18" i="25"/>
  <c r="T17" i="25"/>
  <c r="Q17" i="25"/>
  <c r="K17" i="25"/>
  <c r="T16" i="25"/>
  <c r="Q16" i="25"/>
  <c r="K16" i="25"/>
  <c r="T15" i="25"/>
  <c r="Q15" i="25"/>
  <c r="H15" i="25"/>
  <c r="T13" i="25"/>
  <c r="Q13" i="25"/>
  <c r="K13" i="25"/>
  <c r="T12" i="25"/>
  <c r="Q12" i="25"/>
  <c r="K12" i="25"/>
  <c r="T11" i="25"/>
  <c r="Q11" i="25"/>
  <c r="K11" i="25"/>
  <c r="T10" i="25"/>
  <c r="Q10" i="25"/>
  <c r="H10" i="25"/>
  <c r="I10" i="25" s="1"/>
  <c r="X13" i="25" l="1"/>
  <c r="Y13" i="25" s="1"/>
  <c r="AB28" i="25"/>
  <c r="AA28" i="25" s="1"/>
  <c r="AB16" i="25"/>
  <c r="AA16" i="25" s="1"/>
  <c r="AB19" i="25"/>
  <c r="AA19" i="25" s="1"/>
  <c r="AB32" i="25"/>
  <c r="AA32" i="25" s="1"/>
  <c r="AB53" i="25"/>
  <c r="AA53" i="25" s="1"/>
  <c r="X50" i="25"/>
  <c r="Z50" i="25" s="1"/>
  <c r="AB41" i="25"/>
  <c r="AA41" i="25" s="1"/>
  <c r="AB47" i="25"/>
  <c r="AA47" i="25" s="1"/>
  <c r="X55" i="25"/>
  <c r="Y55" i="25" s="1"/>
  <c r="AC55" i="25" s="1"/>
  <c r="X26" i="25"/>
  <c r="Z26" i="25" s="1"/>
  <c r="AB18" i="25"/>
  <c r="AA18" i="25" s="1"/>
  <c r="AB25" i="25"/>
  <c r="AA25" i="25" s="1"/>
  <c r="AB30" i="25"/>
  <c r="AA30" i="25" s="1"/>
  <c r="X38" i="25"/>
  <c r="Y38" i="25" s="1"/>
  <c r="AC38" i="25" s="1"/>
  <c r="X59" i="25"/>
  <c r="X43" i="25"/>
  <c r="Z43" i="25" s="1"/>
  <c r="X56" i="25"/>
  <c r="Y56" i="25" s="1"/>
  <c r="AB22" i="25"/>
  <c r="AA22" i="25" s="1"/>
  <c r="AB38" i="25"/>
  <c r="AA38" i="25" s="1"/>
  <c r="X54" i="25"/>
  <c r="Z54" i="25" s="1"/>
  <c r="AB44" i="25"/>
  <c r="AA44" i="25" s="1"/>
  <c r="AB49" i="25"/>
  <c r="AA49" i="25" s="1"/>
  <c r="AB12" i="25"/>
  <c r="AA12" i="25" s="1"/>
  <c r="X20" i="25"/>
  <c r="Z20" i="25" s="1"/>
  <c r="AB24" i="25"/>
  <c r="AA24" i="25" s="1"/>
  <c r="X29" i="25"/>
  <c r="Z29" i="25" s="1"/>
  <c r="X21" i="25"/>
  <c r="Z21" i="25" s="1"/>
  <c r="X37" i="25"/>
  <c r="X42" i="25"/>
  <c r="AB52" i="25"/>
  <c r="AA52" i="25" s="1"/>
  <c r="AB50" i="25"/>
  <c r="AA50" i="25" s="1"/>
  <c r="AB55" i="25"/>
  <c r="AA55" i="25" s="1"/>
  <c r="X58" i="25"/>
  <c r="Y58" i="25" s="1"/>
  <c r="AB56" i="25"/>
  <c r="AA56" i="25" s="1"/>
  <c r="AB27" i="25"/>
  <c r="AA27" i="25" s="1"/>
  <c r="AB42" i="25"/>
  <c r="AA42" i="25" s="1"/>
  <c r="AC52" i="33"/>
  <c r="Y35" i="33"/>
  <c r="AC31" i="33"/>
  <c r="Z60" i="33"/>
  <c r="Y60" i="33"/>
  <c r="AC60" i="33" s="1"/>
  <c r="Y64" i="33"/>
  <c r="AC64" i="33" s="1"/>
  <c r="Z64" i="33"/>
  <c r="Z46" i="33"/>
  <c r="Y46" i="33"/>
  <c r="AC46" i="33" s="1"/>
  <c r="Y61" i="33"/>
  <c r="AC61" i="33" s="1"/>
  <c r="Z61" i="33"/>
  <c r="Y44" i="33"/>
  <c r="AC44" i="33" s="1"/>
  <c r="Z44" i="33"/>
  <c r="AC20" i="33"/>
  <c r="AC43" i="33"/>
  <c r="AC62" i="33"/>
  <c r="Z45" i="33"/>
  <c r="Y45" i="33"/>
  <c r="AC45" i="33" s="1"/>
  <c r="Y47" i="33"/>
  <c r="AC47" i="33" s="1"/>
  <c r="Z47" i="33"/>
  <c r="AC54" i="33"/>
  <c r="Y30" i="33"/>
  <c r="AC30" i="33" s="1"/>
  <c r="Z30" i="33"/>
  <c r="AC49" i="33"/>
  <c r="Z63" i="33"/>
  <c r="Y63" i="33"/>
  <c r="AC63" i="33" s="1"/>
  <c r="Z14" i="29"/>
  <c r="Z15" i="29"/>
  <c r="AC15" i="29"/>
  <c r="AC54" i="29"/>
  <c r="Y16" i="29"/>
  <c r="AC16" i="29" s="1"/>
  <c r="Y51" i="29"/>
  <c r="AC34" i="29"/>
  <c r="Y57" i="29"/>
  <c r="AC57" i="29" s="1"/>
  <c r="Y48" i="29"/>
  <c r="AC48" i="29" s="1"/>
  <c r="Z24" i="29"/>
  <c r="Y17" i="29"/>
  <c r="AC17" i="29" s="1"/>
  <c r="Y47" i="29"/>
  <c r="AC47" i="29" s="1"/>
  <c r="Y40" i="29"/>
  <c r="AC40" i="29" s="1"/>
  <c r="Z63" i="29"/>
  <c r="Y63" i="29"/>
  <c r="AC63" i="29" s="1"/>
  <c r="Z32" i="29"/>
  <c r="Y32" i="29"/>
  <c r="AC32" i="29" s="1"/>
  <c r="Z60" i="29"/>
  <c r="Y60" i="29"/>
  <c r="AC60" i="29" s="1"/>
  <c r="Z46" i="29"/>
  <c r="Y46" i="29"/>
  <c r="AC46" i="29" s="1"/>
  <c r="AC62" i="29"/>
  <c r="Y14" i="26"/>
  <c r="AC14" i="26" s="1"/>
  <c r="Y15" i="26"/>
  <c r="AC15" i="26" s="1"/>
  <c r="AC60" i="26"/>
  <c r="Y57" i="26"/>
  <c r="Z61" i="26"/>
  <c r="AC61" i="26"/>
  <c r="AC53" i="26"/>
  <c r="Y59" i="26"/>
  <c r="AC59" i="26" s="1"/>
  <c r="Y18" i="26"/>
  <c r="AC46" i="26"/>
  <c r="Y23" i="26"/>
  <c r="Y63" i="26"/>
  <c r="AC63" i="26" s="1"/>
  <c r="AC15" i="32"/>
  <c r="Z13" i="32"/>
  <c r="AC13" i="30"/>
  <c r="Z56" i="34"/>
  <c r="Y56" i="34"/>
  <c r="AC56" i="34" s="1"/>
  <c r="Z26" i="34"/>
  <c r="Y26" i="34"/>
  <c r="AC26" i="34" s="1"/>
  <c r="Z57" i="34"/>
  <c r="Y57" i="34"/>
  <c r="AC57" i="34" s="1"/>
  <c r="Z59" i="34"/>
  <c r="Y59" i="34"/>
  <c r="AC59" i="34" s="1"/>
  <c r="Z28" i="34"/>
  <c r="Y28" i="34"/>
  <c r="AC28" i="34" s="1"/>
  <c r="Z25" i="34"/>
  <c r="Y25" i="34"/>
  <c r="AC25" i="34" s="1"/>
  <c r="Z60" i="34"/>
  <c r="Y60" i="34"/>
  <c r="AC60" i="34" s="1"/>
  <c r="Z42" i="34"/>
  <c r="Y42" i="34"/>
  <c r="AC42" i="34" s="1"/>
  <c r="AC50" i="34"/>
  <c r="AC15" i="34"/>
  <c r="Z41" i="34"/>
  <c r="Y41" i="34"/>
  <c r="AC41" i="34" s="1"/>
  <c r="Z10" i="34"/>
  <c r="Y10" i="34"/>
  <c r="AC35" i="34"/>
  <c r="Z29" i="34"/>
  <c r="Y29" i="34"/>
  <c r="AC29" i="34" s="1"/>
  <c r="Z39" i="34"/>
  <c r="Y39" i="34"/>
  <c r="AC39" i="34" s="1"/>
  <c r="Z53" i="34"/>
  <c r="Y53" i="34"/>
  <c r="AC53" i="34" s="1"/>
  <c r="Y22" i="34"/>
  <c r="AC22" i="34" s="1"/>
  <c r="Z22" i="34"/>
  <c r="AC32" i="34"/>
  <c r="AC67" i="34"/>
  <c r="AC49" i="34"/>
  <c r="AC63" i="34"/>
  <c r="Z43" i="34"/>
  <c r="Y43" i="34"/>
  <c r="AC43" i="34" s="1"/>
  <c r="AC18" i="34"/>
  <c r="Z41" i="33"/>
  <c r="Y41" i="33"/>
  <c r="AC41" i="33" s="1"/>
  <c r="AC35" i="33"/>
  <c r="AC17" i="33"/>
  <c r="Z27" i="33"/>
  <c r="Y27" i="33"/>
  <c r="AC27" i="33" s="1"/>
  <c r="AC32" i="33"/>
  <c r="AC48" i="33"/>
  <c r="Z24" i="33"/>
  <c r="Y24" i="33"/>
  <c r="AC24" i="33" s="1"/>
  <c r="Z28" i="33"/>
  <c r="Y28" i="33"/>
  <c r="AC28" i="33" s="1"/>
  <c r="Z68" i="33"/>
  <c r="Y68" i="33"/>
  <c r="AC68" i="33" s="1"/>
  <c r="AC21" i="33"/>
  <c r="AC37" i="33"/>
  <c r="Z38" i="33"/>
  <c r="Y38" i="33"/>
  <c r="AC38" i="33" s="1"/>
  <c r="AC40" i="33"/>
  <c r="AC34" i="33"/>
  <c r="AC23" i="33"/>
  <c r="Z58" i="33"/>
  <c r="Y58" i="33"/>
  <c r="AC58" i="33" s="1"/>
  <c r="Z57" i="33"/>
  <c r="Y57" i="33"/>
  <c r="AC57" i="33" s="1"/>
  <c r="Z10" i="33"/>
  <c r="Y10" i="33"/>
  <c r="AC18" i="33"/>
  <c r="AC14" i="33"/>
  <c r="Z55" i="33"/>
  <c r="Y55" i="33"/>
  <c r="AC55" i="33" s="1"/>
  <c r="AC51" i="33"/>
  <c r="Z56" i="32"/>
  <c r="Y56" i="32"/>
  <c r="AC56" i="32" s="1"/>
  <c r="Z42" i="32"/>
  <c r="Y42" i="32"/>
  <c r="AC42" i="32" s="1"/>
  <c r="Z69" i="32"/>
  <c r="Y69" i="32"/>
  <c r="AC69" i="32" s="1"/>
  <c r="Z10" i="32"/>
  <c r="Y10" i="32"/>
  <c r="Z38" i="32"/>
  <c r="Y38" i="32"/>
  <c r="AC38" i="32" s="1"/>
  <c r="Z58" i="32"/>
  <c r="Y58" i="32"/>
  <c r="AC58" i="32" s="1"/>
  <c r="AC37" i="32"/>
  <c r="AC43" i="32"/>
  <c r="Z39" i="32"/>
  <c r="Y39" i="32"/>
  <c r="AC39" i="32" s="1"/>
  <c r="Z28" i="32"/>
  <c r="Y28" i="32"/>
  <c r="AC28" i="32" s="1"/>
  <c r="Z55" i="32"/>
  <c r="Y55" i="32"/>
  <c r="AC55" i="32" s="1"/>
  <c r="Z25" i="32"/>
  <c r="Y25" i="32"/>
  <c r="AC25" i="32" s="1"/>
  <c r="Z24" i="32"/>
  <c r="Y24" i="32"/>
  <c r="AC24" i="32" s="1"/>
  <c r="AC60" i="32"/>
  <c r="Z29" i="32"/>
  <c r="Y29" i="32"/>
  <c r="AC29" i="32" s="1"/>
  <c r="AC26" i="32"/>
  <c r="Z59" i="32"/>
  <c r="Y59" i="32"/>
  <c r="AC59" i="32" s="1"/>
  <c r="Z41" i="32"/>
  <c r="Y41" i="32"/>
  <c r="AC41" i="32" s="1"/>
  <c r="Z21" i="32"/>
  <c r="Y21" i="32"/>
  <c r="AC21" i="32" s="1"/>
  <c r="Z56" i="31"/>
  <c r="Y56" i="31"/>
  <c r="AC56" i="31" s="1"/>
  <c r="Z25" i="31"/>
  <c r="Y25" i="31"/>
  <c r="AC25" i="31" s="1"/>
  <c r="Z68" i="31"/>
  <c r="Y68" i="31"/>
  <c r="AC68" i="31" s="1"/>
  <c r="Z40" i="31"/>
  <c r="Y40" i="31"/>
  <c r="AC40" i="31" s="1"/>
  <c r="AC19" i="31"/>
  <c r="AC24" i="31"/>
  <c r="AC44" i="31"/>
  <c r="Z42" i="31"/>
  <c r="Y42" i="31"/>
  <c r="AC42" i="31" s="1"/>
  <c r="Z69" i="31"/>
  <c r="Y69" i="31"/>
  <c r="AC69" i="31" s="1"/>
  <c r="Z37" i="31"/>
  <c r="Y37" i="31"/>
  <c r="AC37" i="31" s="1"/>
  <c r="AC18" i="31"/>
  <c r="AC35" i="31"/>
  <c r="Z39" i="31"/>
  <c r="Y39" i="31"/>
  <c r="AC39" i="31" s="1"/>
  <c r="Z58" i="31"/>
  <c r="Y58" i="31"/>
  <c r="AC58" i="31" s="1"/>
  <c r="Z54" i="31"/>
  <c r="Y54" i="31"/>
  <c r="AC54" i="31" s="1"/>
  <c r="Z55" i="31"/>
  <c r="Y55" i="31"/>
  <c r="AC55" i="31" s="1"/>
  <c r="AC38" i="31"/>
  <c r="AC32" i="31"/>
  <c r="Z51" i="31"/>
  <c r="Y51" i="31"/>
  <c r="AC51" i="31" s="1"/>
  <c r="Z59" i="31"/>
  <c r="Y59" i="31"/>
  <c r="AC59" i="31" s="1"/>
  <c r="Z10" i="31"/>
  <c r="Y10" i="31"/>
  <c r="Z23" i="31"/>
  <c r="Y23" i="31"/>
  <c r="AC23" i="31" s="1"/>
  <c r="Z10" i="30"/>
  <c r="Y10" i="30"/>
  <c r="Z26" i="30"/>
  <c r="Y26" i="30"/>
  <c r="AC26" i="30" s="1"/>
  <c r="Z41" i="30"/>
  <c r="Y41" i="30"/>
  <c r="AC41" i="30" s="1"/>
  <c r="Z37" i="30"/>
  <c r="Y37" i="30"/>
  <c r="AC37" i="30" s="1"/>
  <c r="Z60" i="30"/>
  <c r="Y60" i="30"/>
  <c r="AC60" i="30" s="1"/>
  <c r="Z38" i="30"/>
  <c r="Y38" i="30"/>
  <c r="AC38" i="30" s="1"/>
  <c r="AC36" i="30"/>
  <c r="AC44" i="30"/>
  <c r="Z20" i="30"/>
  <c r="Y20" i="30"/>
  <c r="AC20" i="30" s="1"/>
  <c r="Z25" i="30"/>
  <c r="Y25" i="30"/>
  <c r="AC25" i="30" s="1"/>
  <c r="Z24" i="30"/>
  <c r="Y24" i="30"/>
  <c r="AC24" i="30" s="1"/>
  <c r="Z51" i="30"/>
  <c r="Y51" i="30"/>
  <c r="AC51" i="30" s="1"/>
  <c r="AC61" i="30"/>
  <c r="AC47" i="30"/>
  <c r="Z39" i="30"/>
  <c r="Y39" i="30"/>
  <c r="AC39" i="30" s="1"/>
  <c r="Z54" i="30"/>
  <c r="Y54" i="30"/>
  <c r="AC54" i="30" s="1"/>
  <c r="Z21" i="30"/>
  <c r="Y21" i="30"/>
  <c r="AC21" i="30" s="1"/>
  <c r="AC50" i="30"/>
  <c r="AC30" i="30"/>
  <c r="Z46" i="30"/>
  <c r="Y46" i="30"/>
  <c r="AC46" i="30" s="1"/>
  <c r="Z59" i="30"/>
  <c r="Y59" i="30"/>
  <c r="AC59" i="30" s="1"/>
  <c r="Z43" i="30"/>
  <c r="Y43" i="30"/>
  <c r="AC43" i="30" s="1"/>
  <c r="Z69" i="30"/>
  <c r="Y69" i="30"/>
  <c r="AC69" i="30" s="1"/>
  <c r="Z68" i="30"/>
  <c r="Y68" i="30"/>
  <c r="AC68" i="30" s="1"/>
  <c r="Z23" i="30"/>
  <c r="Y23" i="30"/>
  <c r="AC23" i="30" s="1"/>
  <c r="Z56" i="30"/>
  <c r="Y56" i="30"/>
  <c r="AC56" i="30" s="1"/>
  <c r="Z58" i="30"/>
  <c r="Y58" i="30"/>
  <c r="AC58" i="30" s="1"/>
  <c r="AC22" i="30"/>
  <c r="Z29" i="30"/>
  <c r="Y29" i="30"/>
  <c r="AC29" i="30" s="1"/>
  <c r="Z42" i="30"/>
  <c r="Y42" i="30"/>
  <c r="AC42" i="30" s="1"/>
  <c r="Z55" i="30"/>
  <c r="Y55" i="30"/>
  <c r="AC55" i="30" s="1"/>
  <c r="Z40" i="30"/>
  <c r="Y40" i="30"/>
  <c r="AC40" i="30" s="1"/>
  <c r="Z36" i="29"/>
  <c r="Y36" i="29"/>
  <c r="AC36" i="29" s="1"/>
  <c r="Z61" i="29"/>
  <c r="Y61" i="29"/>
  <c r="AC61" i="29" s="1"/>
  <c r="Z25" i="29"/>
  <c r="Y25" i="29"/>
  <c r="AC25" i="29" s="1"/>
  <c r="Z52" i="29"/>
  <c r="Y52" i="29"/>
  <c r="AC52" i="29" s="1"/>
  <c r="Z35" i="29"/>
  <c r="Y35" i="29"/>
  <c r="AC35" i="29" s="1"/>
  <c r="Z58" i="29"/>
  <c r="Y58" i="29"/>
  <c r="AC58" i="29" s="1"/>
  <c r="Z13" i="29"/>
  <c r="Y13" i="29"/>
  <c r="Z22" i="29"/>
  <c r="Y22" i="29"/>
  <c r="AC22" i="29" s="1"/>
  <c r="AC51" i="29"/>
  <c r="AC14" i="29"/>
  <c r="AC45" i="29"/>
  <c r="AC28" i="29"/>
  <c r="Z55" i="29"/>
  <c r="Y55" i="29"/>
  <c r="AC55" i="29" s="1"/>
  <c r="Z44" i="29"/>
  <c r="Y44" i="29"/>
  <c r="AC44" i="29" s="1"/>
  <c r="Z26" i="29"/>
  <c r="Y26" i="29"/>
  <c r="AC26" i="29" s="1"/>
  <c r="Z10" i="29"/>
  <c r="Y10" i="29"/>
  <c r="AC42" i="29"/>
  <c r="Z27" i="29"/>
  <c r="Y27" i="29"/>
  <c r="AC27" i="29" s="1"/>
  <c r="Z66" i="29"/>
  <c r="Y66" i="29"/>
  <c r="AC66" i="29" s="1"/>
  <c r="Z56" i="29"/>
  <c r="Y56" i="29"/>
  <c r="AC56" i="29" s="1"/>
  <c r="Z21" i="29"/>
  <c r="Y21" i="29"/>
  <c r="AC21" i="29" s="1"/>
  <c r="Z41" i="29"/>
  <c r="Y41" i="29"/>
  <c r="AC41" i="29" s="1"/>
  <c r="Z53" i="29"/>
  <c r="Y53" i="29"/>
  <c r="AC53" i="29" s="1"/>
  <c r="Z38" i="29"/>
  <c r="Y38" i="29"/>
  <c r="AC38" i="29" s="1"/>
  <c r="AC20" i="29"/>
  <c r="AC31" i="29"/>
  <c r="Z39" i="29"/>
  <c r="Y39" i="29"/>
  <c r="AC39" i="29" s="1"/>
  <c r="AC37" i="29"/>
  <c r="Z18" i="29"/>
  <c r="Y18" i="29"/>
  <c r="AC18" i="29" s="1"/>
  <c r="AC59" i="29"/>
  <c r="AC11" i="29"/>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27" i="25"/>
  <c r="AC27" i="25" s="1"/>
  <c r="Z27" i="25"/>
  <c r="Z13" i="25"/>
  <c r="Z42" i="25"/>
  <c r="Y42" i="25"/>
  <c r="Z59" i="25"/>
  <c r="Y59" i="25"/>
  <c r="AB35" i="25"/>
  <c r="AA35" i="25" s="1"/>
  <c r="Z38" i="25"/>
  <c r="X46" i="25"/>
  <c r="Z46" i="25" s="1"/>
  <c r="AB59" i="25"/>
  <c r="AA59" i="25" s="1"/>
  <c r="AC40" i="26"/>
  <c r="Y44" i="27"/>
  <c r="AC13" i="27"/>
  <c r="Y30" i="26"/>
  <c r="AC30" i="26" s="1"/>
  <c r="Z30" i="26"/>
  <c r="AB13" i="25"/>
  <c r="AA13" i="25" s="1"/>
  <c r="X25" i="25"/>
  <c r="X45" i="25"/>
  <c r="AB58" i="25"/>
  <c r="AA58" i="25" s="1"/>
  <c r="AB62" i="25"/>
  <c r="AA62" i="25" s="1"/>
  <c r="Y26" i="26"/>
  <c r="AC50" i="27"/>
  <c r="AC32" i="27"/>
  <c r="AC62" i="26"/>
  <c r="X12" i="25"/>
  <c r="X15" i="25"/>
  <c r="Z15" i="25" s="1"/>
  <c r="X23" i="25"/>
  <c r="Y23" i="25" s="1"/>
  <c r="X28" i="25"/>
  <c r="AB61" i="25"/>
  <c r="AA61" i="25" s="1"/>
  <c r="AC16" i="27"/>
  <c r="Y17" i="27"/>
  <c r="AC17" i="27" s="1"/>
  <c r="Z17" i="27"/>
  <c r="X24" i="25"/>
  <c r="X40" i="25"/>
  <c r="Z40" i="25" s="1"/>
  <c r="X41" i="25"/>
  <c r="X60" i="25"/>
  <c r="Z60" i="25" s="1"/>
  <c r="AC61" i="27"/>
  <c r="AC47" i="27"/>
  <c r="Y65" i="27"/>
  <c r="AC65" i="27" s="1"/>
  <c r="Z65" i="27"/>
  <c r="Z66" i="27"/>
  <c r="Y66" i="27"/>
  <c r="AC66" i="27" s="1"/>
  <c r="AB39" i="25"/>
  <c r="AA39" i="25" s="1"/>
  <c r="Y62" i="27"/>
  <c r="AC62" i="27" s="1"/>
  <c r="Z62" i="27"/>
  <c r="Z63" i="27"/>
  <c r="Y63" i="27"/>
  <c r="AC63" i="27" s="1"/>
  <c r="Z45" i="26"/>
  <c r="Y45" i="26"/>
  <c r="AC45" i="26" s="1"/>
  <c r="Z48" i="26"/>
  <c r="Y48" i="26"/>
  <c r="AC48" i="26" s="1"/>
  <c r="AB26" i="25"/>
  <c r="AA26" i="25" s="1"/>
  <c r="Y44" i="26"/>
  <c r="AC44" i="26" s="1"/>
  <c r="Z44" i="26"/>
  <c r="Z31" i="26"/>
  <c r="Y31" i="26"/>
  <c r="AC31" i="26" s="1"/>
  <c r="Z28" i="26"/>
  <c r="Y28" i="26"/>
  <c r="AC28" i="26" s="1"/>
  <c r="Y12"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19" i="26"/>
  <c r="Y19" i="26"/>
  <c r="AC19" i="26" s="1"/>
  <c r="AC43" i="26"/>
  <c r="Z39" i="26"/>
  <c r="Y39" i="26"/>
  <c r="AC39" i="26" s="1"/>
  <c r="Z20" i="26"/>
  <c r="Y20" i="26"/>
  <c r="AC20" i="26" s="1"/>
  <c r="AC18" i="26"/>
  <c r="Z34" i="26"/>
  <c r="Y34" i="26"/>
  <c r="AC34" i="26" s="1"/>
  <c r="Z21" i="26"/>
  <c r="Y21" i="26"/>
  <c r="AC21" i="26" s="1"/>
  <c r="Z65" i="26"/>
  <c r="Y65" i="26"/>
  <c r="AC65" i="26" s="1"/>
  <c r="Y13" i="26"/>
  <c r="Z13" i="26"/>
  <c r="Z54" i="26"/>
  <c r="Y54" i="26"/>
  <c r="AC54" i="26" s="1"/>
  <c r="Z50" i="26"/>
  <c r="Y50" i="26"/>
  <c r="AC50" i="26" s="1"/>
  <c r="Z33" i="26"/>
  <c r="Y33" i="26"/>
  <c r="AC33" i="26" s="1"/>
  <c r="Z16" i="26"/>
  <c r="Y16" i="26"/>
  <c r="AC16" i="26" s="1"/>
  <c r="AC26" i="26"/>
  <c r="Z64" i="26"/>
  <c r="Y64" i="26"/>
  <c r="AC64" i="26" s="1"/>
  <c r="Z55" i="26"/>
  <c r="Y55" i="26"/>
  <c r="AC55" i="26" s="1"/>
  <c r="Z36" i="26"/>
  <c r="Y36" i="26"/>
  <c r="AC36" i="26" s="1"/>
  <c r="AC57" i="26"/>
  <c r="Z25" i="26"/>
  <c r="Y25" i="26"/>
  <c r="AC25" i="26" s="1"/>
  <c r="Z17" i="26"/>
  <c r="Y17" i="26"/>
  <c r="AC17" i="26" s="1"/>
  <c r="Z52" i="26"/>
  <c r="Y52" i="26"/>
  <c r="AC52" i="26" s="1"/>
  <c r="Z51" i="26"/>
  <c r="Y51" i="26"/>
  <c r="AC51" i="26" s="1"/>
  <c r="AC49" i="26"/>
  <c r="AC32" i="26"/>
  <c r="Z35" i="26"/>
  <c r="Y35" i="26"/>
  <c r="AC35" i="26" s="1"/>
  <c r="Z42" i="26"/>
  <c r="Y42" i="26"/>
  <c r="AC42" i="26" s="1"/>
  <c r="Z56" i="26"/>
  <c r="Y56" i="26"/>
  <c r="AC56" i="26" s="1"/>
  <c r="Z22" i="26"/>
  <c r="Y22" i="26"/>
  <c r="AC22" i="26" s="1"/>
  <c r="Z38" i="26"/>
  <c r="Y38" i="26"/>
  <c r="AC38" i="26" s="1"/>
  <c r="Z37" i="26"/>
  <c r="Y37" i="26"/>
  <c r="AC37" i="26" s="1"/>
  <c r="Z47" i="26"/>
  <c r="Y47" i="26"/>
  <c r="AC47" i="26" s="1"/>
  <c r="AC23" i="26"/>
  <c r="Y40" i="25"/>
  <c r="Y54" i="25"/>
  <c r="Y20" i="25"/>
  <c r="Z37" i="25"/>
  <c r="Y37" i="25"/>
  <c r="Z57" i="25"/>
  <c r="Y57" i="25"/>
  <c r="I15" i="25"/>
  <c r="Y15" i="25"/>
  <c r="X16" i="25"/>
  <c r="AB20" i="25"/>
  <c r="AA20" i="25" s="1"/>
  <c r="AB23" i="25"/>
  <c r="AA23" i="25" s="1"/>
  <c r="Y29" i="25"/>
  <c r="X30" i="25"/>
  <c r="X33" i="25"/>
  <c r="AB37" i="25"/>
  <c r="AA37" i="25" s="1"/>
  <c r="AB40" i="25"/>
  <c r="AA40" i="25" s="1"/>
  <c r="X44" i="25"/>
  <c r="X47" i="25"/>
  <c r="AB54" i="25"/>
  <c r="AA54" i="25" s="1"/>
  <c r="AB57" i="25"/>
  <c r="AA57" i="25" s="1"/>
  <c r="X61" i="25"/>
  <c r="X17" i="25"/>
  <c r="X31" i="25"/>
  <c r="X34" i="25"/>
  <c r="X48" i="25"/>
  <c r="X51" i="25"/>
  <c r="X62" i="25"/>
  <c r="X32" i="25"/>
  <c r="X35" i="25"/>
  <c r="X49" i="25"/>
  <c r="I51" i="25"/>
  <c r="X52" i="25"/>
  <c r="X18" i="25"/>
  <c r="AB15" i="25"/>
  <c r="AA15" i="25" s="1"/>
  <c r="X19" i="25"/>
  <c r="Y21" i="25"/>
  <c r="AC21" i="25" s="1"/>
  <c r="X22" i="25"/>
  <c r="AB29" i="25"/>
  <c r="AA29" i="25" s="1"/>
  <c r="X36" i="25"/>
  <c r="X39" i="25"/>
  <c r="AB43" i="25"/>
  <c r="AA43" i="25" s="1"/>
  <c r="AB46" i="25"/>
  <c r="AA46" i="25" s="1"/>
  <c r="X53" i="25"/>
  <c r="X10" i="25"/>
  <c r="AB17" i="25"/>
  <c r="AA17" i="25" s="1"/>
  <c r="AB31" i="25"/>
  <c r="AA31" i="25" s="1"/>
  <c r="AB34" i="25"/>
  <c r="AA34" i="25" s="1"/>
  <c r="AB48" i="25"/>
  <c r="AA48" i="25" s="1"/>
  <c r="AB51" i="25"/>
  <c r="AA51" i="25" s="1"/>
  <c r="T65" i="24"/>
  <c r="Q65" i="24"/>
  <c r="AB65" i="24" s="1"/>
  <c r="AA65" i="24" s="1"/>
  <c r="T64" i="24"/>
  <c r="Q64" i="24"/>
  <c r="T63" i="24"/>
  <c r="Q63" i="24"/>
  <c r="T62" i="24"/>
  <c r="Q62" i="24"/>
  <c r="X63" i="24" s="1"/>
  <c r="Z63" i="24" s="1"/>
  <c r="X61" i="24"/>
  <c r="Y61" i="24" s="1"/>
  <c r="T61" i="24"/>
  <c r="Q61" i="24"/>
  <c r="T60" i="24"/>
  <c r="Q60" i="24"/>
  <c r="X60" i="24" s="1"/>
  <c r="Z60" i="24" s="1"/>
  <c r="H60" i="24"/>
  <c r="I60" i="24" s="1"/>
  <c r="T59" i="24"/>
  <c r="Q59" i="24"/>
  <c r="X59" i="24" s="1"/>
  <c r="T58" i="24"/>
  <c r="Q58" i="24"/>
  <c r="T57" i="24"/>
  <c r="Q57" i="24"/>
  <c r="T56" i="24"/>
  <c r="Q56" i="24"/>
  <c r="T55" i="24"/>
  <c r="Q55" i="24"/>
  <c r="T54" i="24"/>
  <c r="Q54" i="24"/>
  <c r="H54" i="24"/>
  <c r="I54" i="24" s="1"/>
  <c r="T53" i="24"/>
  <c r="Q53" i="24"/>
  <c r="T52" i="24"/>
  <c r="Q52" i="24"/>
  <c r="T51" i="24"/>
  <c r="Q51" i="24"/>
  <c r="T50" i="24"/>
  <c r="Q50" i="24"/>
  <c r="T49" i="24"/>
  <c r="Q49" i="24"/>
  <c r="T48" i="24"/>
  <c r="Q48" i="24"/>
  <c r="X48" i="24" s="1"/>
  <c r="H48" i="24"/>
  <c r="I48" i="24" s="1"/>
  <c r="T47" i="24"/>
  <c r="Q47" i="24"/>
  <c r="T46" i="24"/>
  <c r="Q46" i="24"/>
  <c r="AB47" i="24" s="1"/>
  <c r="AA47" i="24" s="1"/>
  <c r="T45" i="24"/>
  <c r="Q45" i="24"/>
  <c r="T44" i="24"/>
  <c r="Q44" i="24"/>
  <c r="T43" i="24"/>
  <c r="Q43" i="24"/>
  <c r="T42" i="24"/>
  <c r="Q42" i="24"/>
  <c r="X43" i="24" s="1"/>
  <c r="H42" i="24"/>
  <c r="I42" i="24" s="1"/>
  <c r="T41" i="24"/>
  <c r="Q41" i="24"/>
  <c r="T40" i="24"/>
  <c r="Q40" i="24"/>
  <c r="X40" i="24" s="1"/>
  <c r="T39" i="24"/>
  <c r="Q39" i="24"/>
  <c r="T38" i="24"/>
  <c r="Q38" i="24"/>
  <c r="X39" i="24" s="1"/>
  <c r="T37" i="24"/>
  <c r="Q37" i="24"/>
  <c r="T36" i="24"/>
  <c r="Q36" i="24"/>
  <c r="AB36" i="24" s="1"/>
  <c r="AA36" i="24" s="1"/>
  <c r="H36" i="24"/>
  <c r="I36" i="24" s="1"/>
  <c r="T35" i="24"/>
  <c r="Q35" i="24"/>
  <c r="T34" i="24"/>
  <c r="Q34" i="24"/>
  <c r="T33" i="24"/>
  <c r="Q33" i="24"/>
  <c r="T32" i="24"/>
  <c r="Q32" i="24"/>
  <c r="T31" i="24"/>
  <c r="Q31" i="24"/>
  <c r="X32" i="24" s="1"/>
  <c r="Z32" i="24" s="1"/>
  <c r="T30" i="24"/>
  <c r="Q30" i="24"/>
  <c r="H30" i="24"/>
  <c r="I30" i="24" s="1"/>
  <c r="T29" i="24"/>
  <c r="Q29" i="24"/>
  <c r="T28" i="24"/>
  <c r="Q28" i="24"/>
  <c r="T27" i="24"/>
  <c r="Q27" i="24"/>
  <c r="T26" i="24"/>
  <c r="Q26" i="24"/>
  <c r="T25" i="24"/>
  <c r="Q25" i="24"/>
  <c r="T24" i="24"/>
  <c r="Q24" i="24"/>
  <c r="H24" i="24"/>
  <c r="I24" i="24" s="1"/>
  <c r="T23" i="24"/>
  <c r="Q23" i="24"/>
  <c r="T22" i="24"/>
  <c r="Q22" i="24"/>
  <c r="T21" i="24"/>
  <c r="Q21" i="24"/>
  <c r="T20" i="24"/>
  <c r="Q20" i="24"/>
  <c r="T19" i="24"/>
  <c r="Q19" i="24"/>
  <c r="T18" i="24"/>
  <c r="Q18" i="24"/>
  <c r="X18" i="24" s="1"/>
  <c r="Z18" i="24" s="1"/>
  <c r="H18" i="24"/>
  <c r="T17" i="24"/>
  <c r="Q17" i="24"/>
  <c r="AB17" i="24" s="1"/>
  <c r="AA17" i="24" s="1"/>
  <c r="T16" i="24"/>
  <c r="Q16" i="24"/>
  <c r="T15" i="24"/>
  <c r="Q15" i="24"/>
  <c r="T14" i="24"/>
  <c r="Q14" i="24"/>
  <c r="T13" i="24"/>
  <c r="Q13" i="24"/>
  <c r="T12" i="24"/>
  <c r="Q12" i="24"/>
  <c r="H12" i="24"/>
  <c r="I12"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AB63" i="23" s="1"/>
  <c r="AA63" i="23" s="1"/>
  <c r="T61" i="23"/>
  <c r="Q61" i="23"/>
  <c r="X62" i="23" s="1"/>
  <c r="T60" i="23"/>
  <c r="Q60" i="23"/>
  <c r="AB60" i="23" s="1"/>
  <c r="AA60" i="23" s="1"/>
  <c r="T59" i="23"/>
  <c r="Q59" i="23"/>
  <c r="T58" i="23"/>
  <c r="Q58" i="23"/>
  <c r="AB59" i="23" s="1"/>
  <c r="AA59" i="23" s="1"/>
  <c r="H58" i="23"/>
  <c r="T57" i="23"/>
  <c r="Q57" i="23"/>
  <c r="T56" i="23"/>
  <c r="Q56" i="23"/>
  <c r="AB57" i="23" s="1"/>
  <c r="AA57" i="23" s="1"/>
  <c r="T55" i="23"/>
  <c r="Q55" i="23"/>
  <c r="T54" i="23"/>
  <c r="Q54" i="23"/>
  <c r="T53" i="23"/>
  <c r="Q53" i="23"/>
  <c r="T52" i="23"/>
  <c r="Q52" i="23"/>
  <c r="AB52" i="23" s="1"/>
  <c r="AA52" i="23" s="1"/>
  <c r="I52" i="23"/>
  <c r="H52" i="23"/>
  <c r="T51" i="23"/>
  <c r="Q51" i="23"/>
  <c r="T50" i="23"/>
  <c r="Q50" i="23"/>
  <c r="T49" i="23"/>
  <c r="Q49" i="23"/>
  <c r="X50" i="23" s="1"/>
  <c r="Z50" i="23" s="1"/>
  <c r="T48" i="23"/>
  <c r="Q48" i="23"/>
  <c r="T47" i="23"/>
  <c r="Q47" i="23"/>
  <c r="X48" i="23" s="1"/>
  <c r="T46" i="23"/>
  <c r="Q46" i="23"/>
  <c r="AB46" i="23" s="1"/>
  <c r="AA46" i="23" s="1"/>
  <c r="H46" i="23"/>
  <c r="I46" i="23" s="1"/>
  <c r="T45" i="23"/>
  <c r="Q45" i="23"/>
  <c r="T44" i="23"/>
  <c r="Q44" i="23"/>
  <c r="AB45" i="23" s="1"/>
  <c r="AA45" i="23" s="1"/>
  <c r="T43" i="23"/>
  <c r="Q43" i="23"/>
  <c r="T42" i="23"/>
  <c r="Q42" i="23"/>
  <c r="AB43" i="23" s="1"/>
  <c r="AA43" i="23" s="1"/>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X27" i="23" s="1"/>
  <c r="T25" i="23"/>
  <c r="Q25" i="23"/>
  <c r="T24" i="23"/>
  <c r="Q24" i="23"/>
  <c r="AB25" i="23" s="1"/>
  <c r="AA25" i="23" s="1"/>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AB14" i="23" s="1"/>
  <c r="AA14" i="23" s="1"/>
  <c r="T12" i="23"/>
  <c r="Q12" i="23"/>
  <c r="T11" i="23"/>
  <c r="Q11" i="23"/>
  <c r="T10" i="23"/>
  <c r="Q10" i="23"/>
  <c r="H10" i="23"/>
  <c r="K65" i="24"/>
  <c r="K47" i="24"/>
  <c r="K29" i="24"/>
  <c r="K13" i="24"/>
  <c r="K52" i="24"/>
  <c r="K55" i="24"/>
  <c r="K68" i="23"/>
  <c r="K50" i="23"/>
  <c r="K32" i="23"/>
  <c r="K45" i="23"/>
  <c r="K27" i="23"/>
  <c r="K56" i="23"/>
  <c r="K60" i="23"/>
  <c r="K11" i="23"/>
  <c r="K28" i="24"/>
  <c r="K23" i="24"/>
  <c r="K47" i="23"/>
  <c r="K32" i="24"/>
  <c r="K12" i="23"/>
  <c r="K51" i="24"/>
  <c r="K33" i="24"/>
  <c r="K15" i="24"/>
  <c r="K21" i="24"/>
  <c r="K38" i="24"/>
  <c r="K35" i="24"/>
  <c r="K54" i="23"/>
  <c r="K36" i="23"/>
  <c r="K18" i="23"/>
  <c r="K31" i="23"/>
  <c r="K13" i="23"/>
  <c r="K42" i="23"/>
  <c r="K17" i="23"/>
  <c r="K41" i="24"/>
  <c r="K67" i="23"/>
  <c r="K48" i="23"/>
  <c r="K37" i="24"/>
  <c r="K19" i="24"/>
  <c r="K62" i="24"/>
  <c r="K11" i="24"/>
  <c r="K57" i="24"/>
  <c r="K56" i="24"/>
  <c r="K69" i="23"/>
  <c r="K51" i="23"/>
  <c r="K33" i="23"/>
  <c r="K15" i="23"/>
  <c r="K39" i="23"/>
  <c r="K49" i="23"/>
  <c r="K53" i="23"/>
  <c r="K34" i="24"/>
  <c r="K16" i="24"/>
  <c r="K59" i="24"/>
  <c r="K61" i="24"/>
  <c r="K43" i="24"/>
  <c r="K53" i="24"/>
  <c r="K55" i="23"/>
  <c r="K37" i="23"/>
  <c r="K19" i="23"/>
  <c r="K30" i="23"/>
  <c r="K14" i="23"/>
  <c r="K57" i="23"/>
  <c r="K62" i="23"/>
  <c r="K27" i="24"/>
  <c r="K20" i="24"/>
  <c r="K63" i="24"/>
  <c r="K45" i="24"/>
  <c r="K58" i="24"/>
  <c r="K40" i="24"/>
  <c r="K39" i="24"/>
  <c r="K41" i="23"/>
  <c r="K23" i="23"/>
  <c r="K66" i="23"/>
  <c r="K25" i="23"/>
  <c r="K59" i="23"/>
  <c r="K43" i="23"/>
  <c r="K46" i="24"/>
  <c r="K22" i="24"/>
  <c r="K26" i="23"/>
  <c r="K50" i="24"/>
  <c r="K21" i="23"/>
  <c r="K44" i="23"/>
  <c r="K17" i="24"/>
  <c r="K49" i="24"/>
  <c r="K31" i="24"/>
  <c r="K44" i="24"/>
  <c r="K26" i="24"/>
  <c r="K25" i="24"/>
  <c r="K38" i="23"/>
  <c r="K20" i="23"/>
  <c r="K63" i="23"/>
  <c r="K65" i="23"/>
  <c r="K61" i="23"/>
  <c r="K29" i="23"/>
  <c r="K64" i="24"/>
  <c r="K24" i="23"/>
  <c r="K14" i="24"/>
  <c r="K35" i="23"/>
  <c r="Y43" i="25" l="1"/>
  <c r="AC42" i="25"/>
  <c r="Z56" i="25"/>
  <c r="Z55" i="25"/>
  <c r="Y26" i="25"/>
  <c r="AC26" i="25" s="1"/>
  <c r="Y50" i="25"/>
  <c r="AC50" i="25" s="1"/>
  <c r="Z23" i="25"/>
  <c r="Y46" i="25"/>
  <c r="AC58" i="25"/>
  <c r="Y60" i="25"/>
  <c r="AC60" i="25" s="1"/>
  <c r="AC15" i="25"/>
  <c r="Z58" i="25"/>
  <c r="AC56" i="25"/>
  <c r="X57" i="24"/>
  <c r="AB23" i="24"/>
  <c r="AA23" i="24" s="1"/>
  <c r="AB26" i="24"/>
  <c r="AA26" i="24" s="1"/>
  <c r="X29" i="24"/>
  <c r="Z29" i="24" s="1"/>
  <c r="X49" i="24"/>
  <c r="Z49" i="24" s="1"/>
  <c r="AB58" i="24"/>
  <c r="AA58" i="24" s="1"/>
  <c r="AB61" i="24"/>
  <c r="AA61" i="24" s="1"/>
  <c r="AB64" i="24"/>
  <c r="AA64" i="24" s="1"/>
  <c r="AB44" i="24"/>
  <c r="AA44" i="24" s="1"/>
  <c r="X51" i="24"/>
  <c r="AB16" i="24"/>
  <c r="AA16" i="24" s="1"/>
  <c r="X34" i="24"/>
  <c r="AB56" i="24"/>
  <c r="AA56" i="24" s="1"/>
  <c r="X58" i="24"/>
  <c r="Y58" i="24" s="1"/>
  <c r="X31" i="24"/>
  <c r="Y31" i="24" s="1"/>
  <c r="X46" i="24"/>
  <c r="Z46" i="24" s="1"/>
  <c r="X53" i="24"/>
  <c r="Y53" i="24" s="1"/>
  <c r="X12" i="24"/>
  <c r="Z12" i="24" s="1"/>
  <c r="X13" i="24" s="1"/>
  <c r="X12" i="34"/>
  <c r="X11" i="34"/>
  <c r="X11" i="33"/>
  <c r="X12" i="32"/>
  <c r="X11" i="32"/>
  <c r="X12" i="31"/>
  <c r="X11" i="31"/>
  <c r="X11" i="30"/>
  <c r="X12" i="30"/>
  <c r="Z12" i="28"/>
  <c r="Y12" i="28"/>
  <c r="Z40" i="24"/>
  <c r="Y40" i="24"/>
  <c r="Y24" i="25"/>
  <c r="AC24" i="25" s="1"/>
  <c r="Z24" i="25"/>
  <c r="X13" i="23"/>
  <c r="Y13" i="23" s="1"/>
  <c r="AB51" i="23"/>
  <c r="AA51" i="23" s="1"/>
  <c r="AB54" i="23"/>
  <c r="AA54" i="23" s="1"/>
  <c r="X63" i="23"/>
  <c r="Z63" i="23" s="1"/>
  <c r="AB68" i="23"/>
  <c r="AA68" i="23" s="1"/>
  <c r="X15" i="24"/>
  <c r="Z15" i="24" s="1"/>
  <c r="X22" i="24"/>
  <c r="X25" i="24"/>
  <c r="Z25" i="24" s="1"/>
  <c r="X28" i="24"/>
  <c r="Z58" i="24"/>
  <c r="AB62" i="24"/>
  <c r="AA62" i="24" s="1"/>
  <c r="Z45" i="25"/>
  <c r="Y45" i="25"/>
  <c r="AC45" i="25" s="1"/>
  <c r="AB26" i="23"/>
  <c r="AA26" i="23" s="1"/>
  <c r="X65" i="23"/>
  <c r="X30" i="24"/>
  <c r="Y30" i="24" s="1"/>
  <c r="AB42" i="24"/>
  <c r="AA42" i="24" s="1"/>
  <c r="AC40" i="25"/>
  <c r="Y12" i="25"/>
  <c r="AC12" i="25" s="1"/>
  <c r="Z12" i="25"/>
  <c r="Z25" i="25"/>
  <c r="Y25" i="25"/>
  <c r="AC25" i="25" s="1"/>
  <c r="AB65" i="23"/>
  <c r="AA65" i="23" s="1"/>
  <c r="AB53" i="24"/>
  <c r="AA53" i="24" s="1"/>
  <c r="AC23" i="25"/>
  <c r="AC13" i="25"/>
  <c r="AB15" i="23"/>
  <c r="AA15" i="23" s="1"/>
  <c r="AB34" i="23"/>
  <c r="AA34" i="23" s="1"/>
  <c r="AB49" i="23"/>
  <c r="AA49" i="23" s="1"/>
  <c r="X64" i="23"/>
  <c r="AB69" i="23"/>
  <c r="AA69" i="23" s="1"/>
  <c r="X20" i="24"/>
  <c r="AB43" i="24"/>
  <c r="AA43" i="24" s="1"/>
  <c r="Y41" i="25"/>
  <c r="AC41" i="25" s="1"/>
  <c r="Z41" i="25"/>
  <c r="Z28" i="25"/>
  <c r="Y28" i="25"/>
  <c r="AC28" i="25" s="1"/>
  <c r="AB33" i="23"/>
  <c r="AA33" i="23" s="1"/>
  <c r="X36" i="23"/>
  <c r="Z36" i="23" s="1"/>
  <c r="X45" i="23"/>
  <c r="Y45" i="23" s="1"/>
  <c r="AB40" i="24"/>
  <c r="AA40" i="24" s="1"/>
  <c r="AB45" i="24"/>
  <c r="AA45" i="24" s="1"/>
  <c r="AC29" i="25"/>
  <c r="AC59" i="25"/>
  <c r="X44" i="23"/>
  <c r="X66" i="23"/>
  <c r="X26" i="24"/>
  <c r="AC46" i="25"/>
  <c r="X16" i="23"/>
  <c r="Z16" i="23" s="1"/>
  <c r="X17" i="23" s="1"/>
  <c r="Z11" i="27"/>
  <c r="X12" i="27" s="1"/>
  <c r="Y11" i="27"/>
  <c r="Z11" i="26"/>
  <c r="Y11" i="26"/>
  <c r="AC20" i="25"/>
  <c r="Z62" i="25"/>
  <c r="Y62" i="25"/>
  <c r="AC62" i="25" s="1"/>
  <c r="Z36" i="25"/>
  <c r="Y36" i="25"/>
  <c r="AC36" i="25" s="1"/>
  <c r="Z33" i="25"/>
  <c r="Y33" i="25"/>
  <c r="AC33" i="25" s="1"/>
  <c r="Z48" i="25"/>
  <c r="Y48" i="25"/>
  <c r="AC48" i="25" s="1"/>
  <c r="Z47" i="25"/>
  <c r="Y47" i="25"/>
  <c r="AC47" i="25" s="1"/>
  <c r="Z30" i="25"/>
  <c r="Y30" i="25"/>
  <c r="AC30" i="25" s="1"/>
  <c r="AC54" i="25"/>
  <c r="Z10" i="25"/>
  <c r="X11" i="25" s="1"/>
  <c r="Y10" i="25"/>
  <c r="Z35" i="25"/>
  <c r="Y35" i="25"/>
  <c r="AC35" i="25" s="1"/>
  <c r="Z44" i="25"/>
  <c r="Y44" i="25"/>
  <c r="AC44" i="25" s="1"/>
  <c r="Z53" i="25"/>
  <c r="Y53" i="25"/>
  <c r="AC53" i="25" s="1"/>
  <c r="Z19" i="25"/>
  <c r="Y19" i="25"/>
  <c r="AC19" i="25" s="1"/>
  <c r="Z32" i="25"/>
  <c r="Y32" i="25"/>
  <c r="AC32" i="25" s="1"/>
  <c r="Y17" i="25"/>
  <c r="AC17" i="25" s="1"/>
  <c r="Z17" i="25"/>
  <c r="AC43" i="25"/>
  <c r="AC37" i="25"/>
  <c r="Z31" i="25"/>
  <c r="Y31" i="25"/>
  <c r="AC31" i="25" s="1"/>
  <c r="Z61" i="25"/>
  <c r="Y61" i="25"/>
  <c r="AC61" i="25" s="1"/>
  <c r="AC57" i="25"/>
  <c r="Z34" i="25"/>
  <c r="Y34" i="25"/>
  <c r="AC34" i="25" s="1"/>
  <c r="Z16" i="25"/>
  <c r="Y16" i="25"/>
  <c r="AC16" i="25" s="1"/>
  <c r="Z49" i="25"/>
  <c r="Y49" i="25"/>
  <c r="AC49" i="25" s="1"/>
  <c r="Z39" i="25"/>
  <c r="Y39" i="25"/>
  <c r="AC39" i="25" s="1"/>
  <c r="Z22" i="25"/>
  <c r="Y22" i="25"/>
  <c r="AC22" i="25" s="1"/>
  <c r="Z18" i="25"/>
  <c r="Y18" i="25"/>
  <c r="AC18" i="25" s="1"/>
  <c r="Z52" i="25"/>
  <c r="Y52" i="25"/>
  <c r="AC52" i="25" s="1"/>
  <c r="Z51" i="25"/>
  <c r="Y51" i="25"/>
  <c r="AC51" i="25" s="1"/>
  <c r="Y48" i="23"/>
  <c r="Z48" i="23"/>
  <c r="Y31" i="23"/>
  <c r="AC31" i="23" s="1"/>
  <c r="Z31" i="23"/>
  <c r="Y62" i="23"/>
  <c r="Z62" i="23"/>
  <c r="Z57" i="24"/>
  <c r="Y57" i="24"/>
  <c r="Z22" i="24"/>
  <c r="Y22" i="24"/>
  <c r="Z39" i="24"/>
  <c r="Y39" i="24"/>
  <c r="Z43" i="24"/>
  <c r="Y43" i="24"/>
  <c r="Z53" i="24"/>
  <c r="AB24" i="24"/>
  <c r="AA24" i="24" s="1"/>
  <c r="AB19" i="23"/>
  <c r="AA19" i="23" s="1"/>
  <c r="X19" i="23"/>
  <c r="Z19" i="23" s="1"/>
  <c r="AB23" i="23"/>
  <c r="AA23" i="23" s="1"/>
  <c r="AB28" i="23"/>
  <c r="AA28" i="23" s="1"/>
  <c r="AB32" i="23"/>
  <c r="AA32" i="23" s="1"/>
  <c r="X57" i="23"/>
  <c r="Z57" i="23" s="1"/>
  <c r="AB67" i="23"/>
  <c r="AA67" i="23" s="1"/>
  <c r="X67" i="23"/>
  <c r="Z67" i="23" s="1"/>
  <c r="AB21" i="24"/>
  <c r="AA21" i="24" s="1"/>
  <c r="X23" i="24"/>
  <c r="X24" i="24"/>
  <c r="AB27" i="24"/>
  <c r="AA27" i="24" s="1"/>
  <c r="X27" i="24"/>
  <c r="AB32" i="24"/>
  <c r="AA32" i="24" s="1"/>
  <c r="X37" i="24"/>
  <c r="Z37" i="24" s="1"/>
  <c r="AB39" i="24"/>
  <c r="AA39" i="24" s="1"/>
  <c r="AB55" i="24"/>
  <c r="AA55" i="24" s="1"/>
  <c r="AB57" i="24"/>
  <c r="AA57" i="24" s="1"/>
  <c r="Y60" i="24"/>
  <c r="Z61" i="24"/>
  <c r="X65" i="24"/>
  <c r="Y65" i="24" s="1"/>
  <c r="AC65" i="24" s="1"/>
  <c r="X53" i="23"/>
  <c r="Z53" i="23" s="1"/>
  <c r="AB25" i="24"/>
  <c r="AA25" i="24" s="1"/>
  <c r="X14" i="23"/>
  <c r="Y14" i="23" s="1"/>
  <c r="AC14" i="23" s="1"/>
  <c r="X30" i="23"/>
  <c r="X32" i="23"/>
  <c r="X52" i="23"/>
  <c r="X14" i="24"/>
  <c r="Y14" i="24" s="1"/>
  <c r="AB19" i="24"/>
  <c r="AA19" i="24" s="1"/>
  <c r="AB35" i="24"/>
  <c r="AA35" i="24" s="1"/>
  <c r="AB41" i="24"/>
  <c r="AA41" i="24" s="1"/>
  <c r="X41" i="24"/>
  <c r="X42" i="24"/>
  <c r="X44" i="24"/>
  <c r="AB52" i="24"/>
  <c r="AA52" i="24" s="1"/>
  <c r="AB59" i="24"/>
  <c r="AA59" i="24" s="1"/>
  <c r="X62" i="24"/>
  <c r="Y62" i="24" s="1"/>
  <c r="AC62" i="24" s="1"/>
  <c r="AB31" i="23"/>
  <c r="AA31" i="23" s="1"/>
  <c r="X15" i="23"/>
  <c r="Z15" i="23" s="1"/>
  <c r="X33" i="23"/>
  <c r="Z33" i="23" s="1"/>
  <c r="Z45" i="23"/>
  <c r="AB62" i="23"/>
  <c r="AA62" i="23" s="1"/>
  <c r="X18" i="23"/>
  <c r="X35" i="23"/>
  <c r="X47" i="23"/>
  <c r="Z47" i="23" s="1"/>
  <c r="X49" i="23"/>
  <c r="AB56" i="23"/>
  <c r="AA56" i="23" s="1"/>
  <c r="X61" i="23"/>
  <c r="X17" i="24"/>
  <c r="Z17" i="24" s="1"/>
  <c r="AB29" i="24"/>
  <c r="AA29" i="24" s="1"/>
  <c r="AB33" i="24"/>
  <c r="AA33" i="24" s="1"/>
  <c r="AB50" i="24"/>
  <c r="AA50" i="24" s="1"/>
  <c r="X56" i="24"/>
  <c r="Z56" i="24" s="1"/>
  <c r="AB60" i="24"/>
  <c r="AA60" i="24" s="1"/>
  <c r="AB48" i="23"/>
  <c r="AA48" i="23" s="1"/>
  <c r="AC48" i="23" s="1"/>
  <c r="AB21" i="23"/>
  <c r="AA21" i="23" s="1"/>
  <c r="AB29" i="23"/>
  <c r="AA29" i="23" s="1"/>
  <c r="X34" i="23"/>
  <c r="AB39" i="23"/>
  <c r="AA39" i="23" s="1"/>
  <c r="AB15" i="24"/>
  <c r="AA15" i="24" s="1"/>
  <c r="AB22" i="24"/>
  <c r="AA22" i="24" s="1"/>
  <c r="AB38" i="24"/>
  <c r="AA38" i="24" s="1"/>
  <c r="X45" i="24"/>
  <c r="Y45" i="24" s="1"/>
  <c r="Y59" i="24"/>
  <c r="Z59" i="24"/>
  <c r="Z51" i="24"/>
  <c r="Y51" i="24"/>
  <c r="Z28" i="24"/>
  <c r="Y28" i="24"/>
  <c r="AC61" i="24"/>
  <c r="Z20" i="24"/>
  <c r="Y20" i="24"/>
  <c r="Y48" i="24"/>
  <c r="Z48" i="24"/>
  <c r="Z34" i="24"/>
  <c r="Y34" i="24"/>
  <c r="AC58" i="24"/>
  <c r="X16" i="24"/>
  <c r="I18" i="24"/>
  <c r="Y18" i="24"/>
  <c r="X19" i="24"/>
  <c r="Y29" i="24"/>
  <c r="Y32" i="24"/>
  <c r="X33" i="24"/>
  <c r="X36" i="24"/>
  <c r="Y46" i="24"/>
  <c r="X47" i="24"/>
  <c r="Y49" i="24"/>
  <c r="X50" i="24"/>
  <c r="Y63" i="24"/>
  <c r="X64" i="24"/>
  <c r="X10" i="24"/>
  <c r="AB30" i="24"/>
  <c r="AA30" i="24" s="1"/>
  <c r="X54" i="24"/>
  <c r="AB14" i="24"/>
  <c r="AA14" i="24" s="1"/>
  <c r="X21" i="24"/>
  <c r="AB28" i="24"/>
  <c r="AA28" i="24" s="1"/>
  <c r="AB31" i="24"/>
  <c r="AA31" i="24" s="1"/>
  <c r="X35" i="24"/>
  <c r="X38" i="24"/>
  <c r="AB48" i="24"/>
  <c r="AA48" i="24" s="1"/>
  <c r="X52" i="24"/>
  <c r="X55" i="24"/>
  <c r="AB18" i="24"/>
  <c r="AA18" i="24" s="1"/>
  <c r="AB46" i="24"/>
  <c r="AA46" i="24" s="1"/>
  <c r="AB49" i="24"/>
  <c r="AA49" i="24" s="1"/>
  <c r="AB63" i="24"/>
  <c r="AA63" i="24" s="1"/>
  <c r="AB34" i="24"/>
  <c r="AA34" i="24" s="1"/>
  <c r="AB37" i="24"/>
  <c r="AA37" i="24" s="1"/>
  <c r="AB51" i="24"/>
  <c r="AA51" i="24" s="1"/>
  <c r="AB54" i="24"/>
  <c r="AA54" i="24" s="1"/>
  <c r="AB20" i="24"/>
  <c r="AA20" i="24" s="1"/>
  <c r="Z30" i="23"/>
  <c r="Y30" i="23"/>
  <c r="AC62" i="23"/>
  <c r="AC45" i="23"/>
  <c r="Z28" i="23"/>
  <c r="Y28" i="23"/>
  <c r="AC28" i="23" s="1"/>
  <c r="Z44" i="23"/>
  <c r="Y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AC29" i="24" l="1"/>
  <c r="Y25" i="24"/>
  <c r="AC30" i="24"/>
  <c r="Z65" i="24"/>
  <c r="AC53" i="24"/>
  <c r="AC59" i="24"/>
  <c r="Z31" i="24"/>
  <c r="Z30" i="24"/>
  <c r="AC57" i="24"/>
  <c r="AC43" i="24"/>
  <c r="Y12" i="24"/>
  <c r="Y15" i="24"/>
  <c r="AC15" i="24" s="1"/>
  <c r="Z11" i="34"/>
  <c r="Y11" i="34"/>
  <c r="Z12" i="34"/>
  <c r="Y12" i="34"/>
  <c r="Z11" i="33"/>
  <c r="Y11" i="33"/>
  <c r="Z11" i="32"/>
  <c r="Y11" i="32"/>
  <c r="Z12" i="32"/>
  <c r="Y12" i="32"/>
  <c r="Z11" i="31"/>
  <c r="Y11" i="31"/>
  <c r="Z12" i="31"/>
  <c r="Y12" i="31"/>
  <c r="Z12" i="30"/>
  <c r="Y12" i="30"/>
  <c r="Z11" i="30"/>
  <c r="Y11" i="30"/>
  <c r="Z13" i="23"/>
  <c r="Z14" i="23"/>
  <c r="Y15" i="23"/>
  <c r="AC15" i="23" s="1"/>
  <c r="Y53" i="23"/>
  <c r="Y56" i="24"/>
  <c r="AC56" i="24" s="1"/>
  <c r="Y63" i="23"/>
  <c r="AC63" i="23" s="1"/>
  <c r="Y47" i="23"/>
  <c r="AC48" i="24"/>
  <c r="AC45" i="24"/>
  <c r="Z26" i="24"/>
  <c r="Y26" i="24"/>
  <c r="AC26" i="24" s="1"/>
  <c r="Y37" i="24"/>
  <c r="Z66" i="23"/>
  <c r="Y66" i="23"/>
  <c r="AC66" i="23" s="1"/>
  <c r="Z64" i="23"/>
  <c r="Y64" i="23"/>
  <c r="AC64" i="23" s="1"/>
  <c r="Y65" i="23"/>
  <c r="AC65" i="23" s="1"/>
  <c r="Z65" i="23"/>
  <c r="Y57" i="23"/>
  <c r="AC57" i="23" s="1"/>
  <c r="AC22" i="23"/>
  <c r="AC40" i="24"/>
  <c r="Z14" i="24"/>
  <c r="Y16" i="23"/>
  <c r="Z12" i="27"/>
  <c r="Y12" i="27"/>
  <c r="Z11" i="25"/>
  <c r="Y11" i="25"/>
  <c r="Z18" i="23"/>
  <c r="Y18" i="23"/>
  <c r="AC18" i="23" s="1"/>
  <c r="Z32" i="23"/>
  <c r="Y32" i="23"/>
  <c r="AC32" i="23" s="1"/>
  <c r="AC63" i="24"/>
  <c r="AC60" i="24"/>
  <c r="Y27" i="24"/>
  <c r="AC27" i="24" s="1"/>
  <c r="Z27" i="24"/>
  <c r="AC32" i="24"/>
  <c r="AC39" i="24"/>
  <c r="Z62" i="24"/>
  <c r="Z45" i="24"/>
  <c r="Y34" i="23"/>
  <c r="AC34" i="23" s="1"/>
  <c r="Z34" i="23"/>
  <c r="Z49" i="23"/>
  <c r="Y49" i="23"/>
  <c r="AC49" i="23" s="1"/>
  <c r="Y44" i="24"/>
  <c r="AC44" i="24" s="1"/>
  <c r="Z44" i="24"/>
  <c r="Z24" i="24"/>
  <c r="Y24" i="24"/>
  <c r="AC24" i="24" s="1"/>
  <c r="AC25" i="24"/>
  <c r="Y17" i="24"/>
  <c r="AC17" i="24" s="1"/>
  <c r="Z42" i="24"/>
  <c r="Y42" i="24"/>
  <c r="AC42" i="24" s="1"/>
  <c r="Z23" i="24"/>
  <c r="Y23" i="24"/>
  <c r="AC23" i="24" s="1"/>
  <c r="AC22" i="24"/>
  <c r="AC27" i="23"/>
  <c r="Y67" i="23"/>
  <c r="AC67" i="23" s="1"/>
  <c r="Y19" i="23"/>
  <c r="AC19" i="23" s="1"/>
  <c r="AC30" i="23"/>
  <c r="Z35" i="23"/>
  <c r="Y35" i="23"/>
  <c r="AC35" i="23" s="1"/>
  <c r="Y41" i="24"/>
  <c r="AC41" i="24" s="1"/>
  <c r="Z41" i="24"/>
  <c r="Z52" i="23"/>
  <c r="Y52" i="23"/>
  <c r="AC52" i="23" s="1"/>
  <c r="Z55" i="24"/>
  <c r="Y55" i="24"/>
  <c r="AC55" i="24" s="1"/>
  <c r="Z21" i="24"/>
  <c r="Y21" i="24"/>
  <c r="AC21" i="24" s="1"/>
  <c r="Z64" i="24"/>
  <c r="Y64" i="24"/>
  <c r="AC64" i="24" s="1"/>
  <c r="Y13" i="24"/>
  <c r="Z13" i="24"/>
  <c r="Z16" i="24"/>
  <c r="Y16" i="24"/>
  <c r="AC16" i="24" s="1"/>
  <c r="Z36" i="24"/>
  <c r="Y36" i="24"/>
  <c r="AC36" i="24" s="1"/>
  <c r="Z50" i="24"/>
  <c r="Y50" i="24"/>
  <c r="AC50" i="24" s="1"/>
  <c r="Z19" i="24"/>
  <c r="Y19" i="24"/>
  <c r="AC19" i="24" s="1"/>
  <c r="AC37" i="24"/>
  <c r="AC51" i="24"/>
  <c r="AC14" i="24"/>
  <c r="AC46" i="24"/>
  <c r="Z10" i="24"/>
  <c r="X11" i="24" s="1"/>
  <c r="Y10" i="24"/>
  <c r="Z33" i="24"/>
  <c r="Y33" i="24"/>
  <c r="AC33" i="24" s="1"/>
  <c r="Z52" i="24"/>
  <c r="Y52" i="24"/>
  <c r="AC52" i="24" s="1"/>
  <c r="AC20" i="24"/>
  <c r="AC49" i="24"/>
  <c r="AC18" i="24"/>
  <c r="AC34" i="24"/>
  <c r="AC28" i="24"/>
  <c r="Z38" i="24"/>
  <c r="Y38" i="24"/>
  <c r="AC38" i="24" s="1"/>
  <c r="Z35" i="24"/>
  <c r="Y35" i="24"/>
  <c r="AC35" i="24" s="1"/>
  <c r="Z54" i="24"/>
  <c r="Y54" i="24"/>
  <c r="AC54" i="24" s="1"/>
  <c r="Z47" i="24"/>
  <c r="Y47" i="24"/>
  <c r="AC47" i="24" s="1"/>
  <c r="AC31"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X65" i="22"/>
  <c r="Z65" i="22" s="1"/>
  <c r="T65" i="22"/>
  <c r="Q65" i="22"/>
  <c r="T64" i="22"/>
  <c r="Q64" i="22"/>
  <c r="H64" i="22"/>
  <c r="T63" i="22"/>
  <c r="Q63" i="22"/>
  <c r="X62" i="22"/>
  <c r="Z62" i="22" s="1"/>
  <c r="T62" i="22"/>
  <c r="Q62" i="22"/>
  <c r="T61" i="22"/>
  <c r="Q61" i="22"/>
  <c r="T60" i="22"/>
  <c r="Q60" i="22"/>
  <c r="AB61" i="22" s="1"/>
  <c r="AA61" i="22" s="1"/>
  <c r="X59" i="22"/>
  <c r="Z59" i="22" s="1"/>
  <c r="T59" i="22"/>
  <c r="Q59" i="22"/>
  <c r="Y58" i="22"/>
  <c r="X58" i="22"/>
  <c r="Z58" i="22" s="1"/>
  <c r="T58" i="22"/>
  <c r="Q58" i="22"/>
  <c r="H58" i="22"/>
  <c r="I58" i="22" s="1"/>
  <c r="T57" i="22"/>
  <c r="Q57" i="22"/>
  <c r="T56" i="22"/>
  <c r="Q56" i="22"/>
  <c r="T55" i="22"/>
  <c r="Q55" i="22"/>
  <c r="T54" i="22"/>
  <c r="Q54" i="22"/>
  <c r="X55" i="22" s="1"/>
  <c r="T53" i="22"/>
  <c r="Q53" i="22"/>
  <c r="T52" i="22"/>
  <c r="Q52" i="22"/>
  <c r="AB53" i="22" s="1"/>
  <c r="AA53" i="22" s="1"/>
  <c r="H52" i="22"/>
  <c r="I52" i="22" s="1"/>
  <c r="T51" i="22"/>
  <c r="Q51" i="22"/>
  <c r="T50" i="22"/>
  <c r="Q50" i="22"/>
  <c r="AB51" i="22" s="1"/>
  <c r="AA51" i="22" s="1"/>
  <c r="T49" i="22"/>
  <c r="Q49" i="22"/>
  <c r="AB50" i="22" s="1"/>
  <c r="AA50" i="22" s="1"/>
  <c r="T48" i="22"/>
  <c r="Q48" i="22"/>
  <c r="T47" i="22"/>
  <c r="Q47" i="22"/>
  <c r="AB48" i="22" s="1"/>
  <c r="AA48" i="22" s="1"/>
  <c r="T46" i="22"/>
  <c r="Q46" i="22"/>
  <c r="AB46" i="22" s="1"/>
  <c r="AA46" i="22" s="1"/>
  <c r="I46" i="22"/>
  <c r="H46" i="22"/>
  <c r="T45" i="22"/>
  <c r="Q45" i="22"/>
  <c r="T44" i="22"/>
  <c r="Q44" i="22"/>
  <c r="T43" i="22"/>
  <c r="Q43" i="22"/>
  <c r="X44" i="22" s="1"/>
  <c r="Z44" i="22" s="1"/>
  <c r="T42" i="22"/>
  <c r="Q42" i="22"/>
  <c r="T41" i="22"/>
  <c r="Q41" i="22"/>
  <c r="X42" i="22" s="1"/>
  <c r="AB40" i="22"/>
  <c r="AA40" i="22" s="1"/>
  <c r="T40" i="22"/>
  <c r="Q40" i="22"/>
  <c r="H40" i="22"/>
  <c r="I40" i="22" s="1"/>
  <c r="T39" i="22"/>
  <c r="Q39" i="22"/>
  <c r="T38" i="22"/>
  <c r="Q38" i="22"/>
  <c r="X39" i="22" s="1"/>
  <c r="T37" i="22"/>
  <c r="Q37" i="22"/>
  <c r="T36" i="22"/>
  <c r="Q36" i="22"/>
  <c r="X37" i="22" s="1"/>
  <c r="T35" i="22"/>
  <c r="Q35" i="22"/>
  <c r="X34" i="22"/>
  <c r="Z34" i="22" s="1"/>
  <c r="T34" i="22"/>
  <c r="Q34" i="22"/>
  <c r="AB35" i="22" s="1"/>
  <c r="AA35" i="22" s="1"/>
  <c r="H34" i="22"/>
  <c r="T33" i="22"/>
  <c r="Q33" i="22"/>
  <c r="T32" i="22"/>
  <c r="Q32" i="22"/>
  <c r="T31" i="22"/>
  <c r="Q31" i="22"/>
  <c r="AB32" i="22" s="1"/>
  <c r="AA32" i="22" s="1"/>
  <c r="T30" i="22"/>
  <c r="Q30" i="22"/>
  <c r="Y29" i="22"/>
  <c r="AC29" i="22" s="1"/>
  <c r="X29" i="22"/>
  <c r="Z29" i="22" s="1"/>
  <c r="T29" i="22"/>
  <c r="Q29" i="22"/>
  <c r="X30" i="22" s="1"/>
  <c r="Z30" i="22" s="1"/>
  <c r="X28" i="22"/>
  <c r="Y28" i="22" s="1"/>
  <c r="T28" i="22"/>
  <c r="Q28" i="22"/>
  <c r="AB29" i="22" s="1"/>
  <c r="AA29" i="22" s="1"/>
  <c r="H28" i="22"/>
  <c r="I28" i="22" s="1"/>
  <c r="T27" i="22"/>
  <c r="Q27" i="22"/>
  <c r="T26" i="22"/>
  <c r="Q26" i="22"/>
  <c r="X27" i="22" s="1"/>
  <c r="Z27" i="22" s="1"/>
  <c r="T25" i="22"/>
  <c r="Q25" i="22"/>
  <c r="T24" i="22"/>
  <c r="Q24" i="22"/>
  <c r="T23" i="22"/>
  <c r="Q23" i="22"/>
  <c r="X24" i="22" s="1"/>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X13" i="22" s="1"/>
  <c r="Y13" i="22" s="1"/>
  <c r="T11" i="22"/>
  <c r="Q11" i="22"/>
  <c r="T10" i="22"/>
  <c r="Q10" i="22"/>
  <c r="H10" i="22"/>
  <c r="I10" i="22" s="1"/>
  <c r="X10" i="22" s="1"/>
  <c r="K24" i="22"/>
  <c r="K12" i="22"/>
  <c r="K50" i="22"/>
  <c r="K26" i="22"/>
  <c r="K65" i="22"/>
  <c r="K62" i="22"/>
  <c r="K29" i="22"/>
  <c r="K54" i="22"/>
  <c r="K39" i="22"/>
  <c r="K63" i="22"/>
  <c r="K43" i="22"/>
  <c r="K18" i="22"/>
  <c r="K25" i="22"/>
  <c r="K47" i="22"/>
  <c r="K44" i="22"/>
  <c r="K35" i="22"/>
  <c r="K38" i="22"/>
  <c r="K51" i="22"/>
  <c r="K55" i="22"/>
  <c r="K67" i="22"/>
  <c r="K33" i="22"/>
  <c r="K42" i="22"/>
  <c r="K14" i="22"/>
  <c r="K69" i="22"/>
  <c r="K68" i="22"/>
  <c r="K23" i="22"/>
  <c r="K27" i="22"/>
  <c r="K48" i="22"/>
  <c r="K41" i="22"/>
  <c r="K13" i="22"/>
  <c r="K53" i="22"/>
  <c r="K30" i="22"/>
  <c r="K15" i="22"/>
  <c r="K49" i="22"/>
  <c r="K20" i="22"/>
  <c r="K32" i="22"/>
  <c r="K37" i="22"/>
  <c r="K61" i="22"/>
  <c r="K45" i="22"/>
  <c r="K17" i="22"/>
  <c r="K60" i="22"/>
  <c r="K19" i="22"/>
  <c r="K31" i="22"/>
  <c r="K11" i="22"/>
  <c r="K57" i="22"/>
  <c r="K59" i="22"/>
  <c r="K56" i="22"/>
  <c r="K21" i="22"/>
  <c r="K66" i="22"/>
  <c r="K36" i="22"/>
  <c r="X21" i="22" l="1"/>
  <c r="AB33" i="22"/>
  <c r="AA33" i="22" s="1"/>
  <c r="X43" i="22"/>
  <c r="Z43" i="22" s="1"/>
  <c r="X56" i="22"/>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Y43" i="22"/>
  <c r="Z56" i="22"/>
  <c r="Y56" i="22"/>
  <c r="Z42" i="22"/>
  <c r="Y42" i="22"/>
  <c r="Y39"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AC31" i="22" s="1"/>
  <c r="X38" i="22"/>
  <c r="AB38" i="22"/>
  <c r="AA38" i="22" s="1"/>
  <c r="AB39" i="22"/>
  <c r="AA39" i="22" s="1"/>
  <c r="X47" i="22"/>
  <c r="Z47" i="22" s="1"/>
  <c r="AB54" i="22"/>
  <c r="AA54" i="22" s="1"/>
  <c r="AB26" i="22"/>
  <c r="AA26" i="22" s="1"/>
  <c r="X14" i="22"/>
  <c r="Y14" i="22" s="1"/>
  <c r="AB19" i="22"/>
  <c r="AA19" i="22" s="1"/>
  <c r="AB20" i="22"/>
  <c r="AA20" i="22" s="1"/>
  <c r="AB49" i="22"/>
  <c r="AA49" i="22" s="1"/>
  <c r="AB58" i="22"/>
  <c r="AA58" i="22" s="1"/>
  <c r="AC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B69" i="22"/>
  <c r="AA69" i="22" s="1"/>
  <c r="Z11" i="24"/>
  <c r="Y11" i="24"/>
  <c r="Z11" i="23"/>
  <c r="X12" i="23" s="1"/>
  <c r="Y11" i="23"/>
  <c r="Z38" i="22"/>
  <c r="Y38" i="22"/>
  <c r="AC38" i="22" s="1"/>
  <c r="Z21" i="22"/>
  <c r="Y21" i="22"/>
  <c r="AC21" i="22" s="1"/>
  <c r="AC48" i="22"/>
  <c r="Z69" i="22"/>
  <c r="Y69" i="22"/>
  <c r="Z20" i="22"/>
  <c r="Y20" i="22"/>
  <c r="AC20" i="22" s="1"/>
  <c r="Z24" i="22"/>
  <c r="Y24" i="22"/>
  <c r="Z37" i="22"/>
  <c r="Y37" i="22"/>
  <c r="AC37" i="22" s="1"/>
  <c r="Z41" i="22"/>
  <c r="Y41" i="22"/>
  <c r="AC41" i="22" s="1"/>
  <c r="Z51" i="22"/>
  <c r="Y51" i="22"/>
  <c r="AC51" i="22" s="1"/>
  <c r="Z54" i="22"/>
  <c r="Z55" i="22"/>
  <c r="Y55" i="22"/>
  <c r="AC55" i="22" s="1"/>
  <c r="Z10" i="22"/>
  <c r="X11" i="22" s="1"/>
  <c r="Y10" i="22"/>
  <c r="X18" i="22"/>
  <c r="I34" i="22"/>
  <c r="Y34" i="22"/>
  <c r="X35" i="22"/>
  <c r="X52" i="22"/>
  <c r="Z61" i="22"/>
  <c r="Y62" i="22"/>
  <c r="AC62" i="22" s="1"/>
  <c r="X63" i="22"/>
  <c r="Z64" i="22"/>
  <c r="Y65" i="22"/>
  <c r="AC65" i="22" s="1"/>
  <c r="X66" i="22"/>
  <c r="X19" i="22"/>
  <c r="X22" i="22"/>
  <c r="Z31" i="22"/>
  <c r="X33" i="22"/>
  <c r="X36" i="22"/>
  <c r="X50" i="22"/>
  <c r="X53" i="22"/>
  <c r="X67" i="22"/>
  <c r="Y27" i="22"/>
  <c r="AC27" i="22" s="1"/>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AC54" i="22" l="1"/>
  <c r="Y46" i="22"/>
  <c r="AC46" i="22" s="1"/>
  <c r="Z46" i="22"/>
  <c r="AC47" i="22"/>
  <c r="AC42" i="22"/>
  <c r="AC26" i="22"/>
  <c r="Z16" i="22"/>
  <c r="X17" i="22" s="1"/>
  <c r="AC56" i="22"/>
  <c r="AC24" i="22"/>
  <c r="AC25" i="22"/>
  <c r="Z60" i="22"/>
  <c r="Y60" i="22"/>
  <c r="AC60" i="22" s="1"/>
  <c r="Y68" i="22"/>
  <c r="AC68" i="22" s="1"/>
  <c r="AC69" i="22"/>
  <c r="Z14" i="22"/>
  <c r="AC43" i="22"/>
  <c r="Z48" i="22"/>
  <c r="AC30" i="22"/>
  <c r="Z45" i="22"/>
  <c r="Y57" i="22"/>
  <c r="AC57" i="22" s="1"/>
  <c r="Z57" i="22"/>
  <c r="AC39" i="22"/>
  <c r="Z12" i="23"/>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Y17" i="22"/>
  <c r="Z17" i="22"/>
  <c r="Z66" i="22"/>
  <c r="Y66" i="22"/>
  <c r="AC66" i="22" s="1"/>
  <c r="AC34" i="22"/>
  <c r="AC44" i="22"/>
  <c r="Z15" i="22"/>
  <c r="Y15" i="22"/>
  <c r="AC15" i="22" s="1"/>
  <c r="Y11" i="22"/>
  <c r="Z11" i="22"/>
  <c r="X12" i="22" s="1"/>
  <c r="AC14" i="22"/>
  <c r="Z33" i="22"/>
  <c r="Y33" i="22"/>
  <c r="AC33" i="22" s="1"/>
  <c r="Z63" i="22"/>
  <c r="Y63" i="22"/>
  <c r="AC63" i="22" s="1"/>
  <c r="T10" i="1"/>
  <c r="Q10" i="1"/>
  <c r="H10" i="1"/>
  <c r="I10" i="1" s="1"/>
  <c r="K43" i="1"/>
  <c r="K23" i="1"/>
  <c r="K60" i="1"/>
  <c r="K50" i="1"/>
  <c r="K31" i="1"/>
  <c r="K38" i="1"/>
  <c r="K30" i="1"/>
  <c r="K55" i="1"/>
  <c r="K54" i="1"/>
  <c r="K47" i="1"/>
  <c r="K33" i="1"/>
  <c r="K27" i="1"/>
  <c r="K19" i="1"/>
  <c r="K18" i="1"/>
  <c r="K69" i="1"/>
  <c r="K41" i="1"/>
  <c r="K65" i="1"/>
  <c r="K44" i="1"/>
  <c r="K49" i="1"/>
  <c r="K25" i="1"/>
  <c r="K51" i="1"/>
  <c r="K59" i="1"/>
  <c r="K67" i="1"/>
  <c r="K26" i="1"/>
  <c r="K53" i="1"/>
  <c r="K35" i="1"/>
  <c r="K66" i="1"/>
  <c r="K36" i="1"/>
  <c r="K56" i="1"/>
  <c r="K62" i="1"/>
  <c r="K45" i="1"/>
  <c r="K39" i="1"/>
  <c r="K42" i="1"/>
  <c r="K24" i="1"/>
  <c r="K21" i="1"/>
  <c r="K68" i="1"/>
  <c r="K32" i="1"/>
  <c r="K63" i="1"/>
  <c r="K61" i="1"/>
  <c r="K17" i="1"/>
  <c r="K20" i="1"/>
  <c r="K48" i="1"/>
  <c r="K37" i="1"/>
  <c r="K29" i="1"/>
  <c r="K57" i="1"/>
  <c r="Z12" i="22" l="1"/>
  <c r="Y12" i="22"/>
  <c r="F221" i="13"/>
  <c r="F211" i="13"/>
  <c r="F212" i="13"/>
  <c r="F213" i="13"/>
  <c r="F214" i="13"/>
  <c r="F215" i="13"/>
  <c r="F216" i="13"/>
  <c r="F217" i="13"/>
  <c r="F218" i="13"/>
  <c r="F219" i="13"/>
  <c r="F220" i="13"/>
  <c r="F210" i="13"/>
  <c r="K11" i="1"/>
  <c r="K15" i="1"/>
  <c r="K13" i="1"/>
  <c r="B221" i="13" a="1"/>
  <c r="K14" i="1"/>
  <c r="K12"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B223" i="13"/>
  <c r="B222" i="13"/>
  <c r="K16" i="34" l="1"/>
  <c r="L16" i="34" s="1"/>
  <c r="K34" i="34"/>
  <c r="L34" i="34" s="1"/>
  <c r="K10" i="34"/>
  <c r="L10" i="34" s="1"/>
  <c r="K46" i="34"/>
  <c r="L46" i="34" s="1"/>
  <c r="K58" i="34"/>
  <c r="L58" i="34" s="1"/>
  <c r="K40" i="34"/>
  <c r="L40" i="34" s="1"/>
  <c r="K28" i="34"/>
  <c r="L28" i="34" s="1"/>
  <c r="K52" i="34"/>
  <c r="L52" i="34" s="1"/>
  <c r="K64" i="34"/>
  <c r="L64" i="34" s="1"/>
  <c r="K22" i="34"/>
  <c r="L22" i="34" s="1"/>
  <c r="K27" i="33"/>
  <c r="L27" i="33" s="1"/>
  <c r="K57" i="33"/>
  <c r="L57" i="33" s="1"/>
  <c r="K33" i="33"/>
  <c r="L33" i="33" s="1"/>
  <c r="K63" i="33"/>
  <c r="L63" i="33" s="1"/>
  <c r="K21" i="33"/>
  <c r="L21" i="33" s="1"/>
  <c r="K15" i="33"/>
  <c r="L15" i="33" s="1"/>
  <c r="K51" i="33"/>
  <c r="L51" i="33" s="1"/>
  <c r="K45" i="33"/>
  <c r="L45" i="33" s="1"/>
  <c r="K10" i="33"/>
  <c r="L10" i="33" s="1"/>
  <c r="K39" i="33"/>
  <c r="L39" i="33" s="1"/>
  <c r="K64" i="32"/>
  <c r="L64" i="32" s="1"/>
  <c r="K22" i="32"/>
  <c r="L22" i="32" s="1"/>
  <c r="K16" i="32"/>
  <c r="L16" i="32" s="1"/>
  <c r="K34" i="32"/>
  <c r="L34" i="32" s="1"/>
  <c r="K46" i="32"/>
  <c r="L46" i="32" s="1"/>
  <c r="K10" i="32"/>
  <c r="L10" i="32" s="1"/>
  <c r="K52" i="32"/>
  <c r="L52" i="32" s="1"/>
  <c r="K28" i="32"/>
  <c r="L28" i="32" s="1"/>
  <c r="K58" i="32"/>
  <c r="L58" i="32" s="1"/>
  <c r="K40" i="32"/>
  <c r="L40" i="32" s="1"/>
  <c r="K46" i="31"/>
  <c r="L46" i="31" s="1"/>
  <c r="K28" i="31"/>
  <c r="L28" i="31" s="1"/>
  <c r="K58" i="31"/>
  <c r="L58" i="31" s="1"/>
  <c r="K10" i="31"/>
  <c r="L10" i="31" s="1"/>
  <c r="K34" i="31"/>
  <c r="L34" i="31" s="1"/>
  <c r="K40" i="31"/>
  <c r="L40" i="31" s="1"/>
  <c r="K64" i="31"/>
  <c r="L64" i="31" s="1"/>
  <c r="K22" i="31"/>
  <c r="L22" i="31" s="1"/>
  <c r="K16" i="31"/>
  <c r="L16" i="31" s="1"/>
  <c r="K52" i="31"/>
  <c r="L52" i="31" s="1"/>
  <c r="K64" i="30"/>
  <c r="L64" i="30" s="1"/>
  <c r="K22" i="30"/>
  <c r="L22" i="30" s="1"/>
  <c r="K16" i="30"/>
  <c r="L16" i="30" s="1"/>
  <c r="K52" i="30"/>
  <c r="L52" i="30" s="1"/>
  <c r="K46" i="30"/>
  <c r="L46" i="30" s="1"/>
  <c r="K34" i="30"/>
  <c r="L34" i="30" s="1"/>
  <c r="K28" i="30"/>
  <c r="L28" i="30" s="1"/>
  <c r="K58" i="30"/>
  <c r="L58" i="30" s="1"/>
  <c r="K10" i="30"/>
  <c r="L10" i="30" s="1"/>
  <c r="K40" i="30"/>
  <c r="L40" i="30" s="1"/>
  <c r="K13" i="29"/>
  <c r="L13" i="29" s="1"/>
  <c r="K31" i="29"/>
  <c r="L31" i="29" s="1"/>
  <c r="K43" i="29"/>
  <c r="L43" i="29" s="1"/>
  <c r="K37" i="29"/>
  <c r="L37" i="29" s="1"/>
  <c r="K25" i="29"/>
  <c r="L25" i="29" s="1"/>
  <c r="K55" i="29"/>
  <c r="L55" i="29" s="1"/>
  <c r="K10" i="29"/>
  <c r="L10" i="29" s="1"/>
  <c r="K19" i="29"/>
  <c r="L19" i="29" s="1"/>
  <c r="K61" i="29"/>
  <c r="L61" i="29" s="1"/>
  <c r="K49" i="29"/>
  <c r="L49" i="29" s="1"/>
  <c r="K34" i="28"/>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2" i="26"/>
  <c r="L12" i="26" s="1"/>
  <c r="K30" i="26"/>
  <c r="L30" i="26" s="1"/>
  <c r="K54" i="26"/>
  <c r="L54" i="26" s="1"/>
  <c r="K42" i="26"/>
  <c r="L42" i="26" s="1"/>
  <c r="K60" i="26"/>
  <c r="L60" i="26" s="1"/>
  <c r="K24" i="26"/>
  <c r="L24" i="26" s="1"/>
  <c r="K10" i="26"/>
  <c r="L10" i="26" s="1"/>
  <c r="K18" i="26"/>
  <c r="L18" i="26" s="1"/>
  <c r="K36" i="26"/>
  <c r="L36" i="26" s="1"/>
  <c r="K48" i="26"/>
  <c r="L48" i="26" s="1"/>
  <c r="K33" i="25"/>
  <c r="L33" i="25" s="1"/>
  <c r="K45" i="25"/>
  <c r="L45" i="25" s="1"/>
  <c r="K27" i="25"/>
  <c r="L27" i="25" s="1"/>
  <c r="K39" i="25"/>
  <c r="L39" i="25" s="1"/>
  <c r="K10" i="25"/>
  <c r="L10" i="25" s="1"/>
  <c r="K51" i="25"/>
  <c r="L51" i="25" s="1"/>
  <c r="K15" i="25"/>
  <c r="L15" i="25" s="1"/>
  <c r="K57" i="25"/>
  <c r="L57" i="25" s="1"/>
  <c r="K21" i="25"/>
  <c r="L21" i="25" s="1"/>
  <c r="K60" i="24"/>
  <c r="L60" i="24" s="1"/>
  <c r="K18" i="24"/>
  <c r="L18" i="24" s="1"/>
  <c r="K12" i="24"/>
  <c r="L12" i="24" s="1"/>
  <c r="K48" i="24"/>
  <c r="L48" i="24" s="1"/>
  <c r="K36" i="24"/>
  <c r="L36" i="24" s="1"/>
  <c r="K42" i="24"/>
  <c r="L42" i="24" s="1"/>
  <c r="K30" i="24"/>
  <c r="L30" i="24" s="1"/>
  <c r="K24" i="24"/>
  <c r="L24" i="24" s="1"/>
  <c r="K54" i="24"/>
  <c r="L54"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N52" i="34" l="1"/>
  <c r="M52" i="34"/>
  <c r="M28" i="34"/>
  <c r="N28" i="34"/>
  <c r="M40" i="34"/>
  <c r="N40" i="34"/>
  <c r="N58" i="34"/>
  <c r="M58" i="34"/>
  <c r="N46" i="34"/>
  <c r="M46" i="34"/>
  <c r="M10" i="34"/>
  <c r="N10" i="34"/>
  <c r="N22" i="34"/>
  <c r="M22" i="34"/>
  <c r="M34" i="34"/>
  <c r="N34" i="34"/>
  <c r="M64" i="34"/>
  <c r="N64" i="34"/>
  <c r="M16" i="34"/>
  <c r="N16" i="34"/>
  <c r="M45" i="33"/>
  <c r="N45" i="33"/>
  <c r="M51" i="33"/>
  <c r="N51" i="33"/>
  <c r="M15" i="33"/>
  <c r="AB15" i="33" s="1"/>
  <c r="AA15" i="33" s="1"/>
  <c r="AC15" i="33" s="1"/>
  <c r="N15" i="33"/>
  <c r="M21" i="33"/>
  <c r="N21" i="33"/>
  <c r="M63" i="33"/>
  <c r="N63" i="33"/>
  <c r="M33" i="33"/>
  <c r="N33" i="33"/>
  <c r="M39" i="33"/>
  <c r="N39" i="33"/>
  <c r="N57" i="33"/>
  <c r="M57" i="33"/>
  <c r="N10" i="33"/>
  <c r="M10" i="33"/>
  <c r="AB10" i="33" s="1"/>
  <c r="M27" i="33"/>
  <c r="N27" i="33"/>
  <c r="M28" i="32"/>
  <c r="N28" i="32"/>
  <c r="M52" i="32"/>
  <c r="N52" i="32"/>
  <c r="N10" i="32"/>
  <c r="M10" i="32"/>
  <c r="N46" i="32"/>
  <c r="M46" i="32"/>
  <c r="M34" i="32"/>
  <c r="N34" i="32"/>
  <c r="M16" i="32"/>
  <c r="N16" i="32"/>
  <c r="M40" i="32"/>
  <c r="N40" i="32"/>
  <c r="M22" i="32"/>
  <c r="N22" i="32"/>
  <c r="N58" i="32"/>
  <c r="M58" i="32"/>
  <c r="M64" i="32"/>
  <c r="N64" i="32"/>
  <c r="M22" i="31"/>
  <c r="N22" i="31"/>
  <c r="M64" i="31"/>
  <c r="N64" i="31"/>
  <c r="N40" i="31"/>
  <c r="M40" i="31"/>
  <c r="M34" i="31"/>
  <c r="N34" i="31"/>
  <c r="N10" i="31"/>
  <c r="M10" i="31"/>
  <c r="N58" i="31"/>
  <c r="M58" i="31"/>
  <c r="M52" i="31"/>
  <c r="N52" i="31"/>
  <c r="M28" i="31"/>
  <c r="N28" i="31"/>
  <c r="M16" i="31"/>
  <c r="N16" i="31"/>
  <c r="M46" i="31"/>
  <c r="N46" i="31"/>
  <c r="M58" i="30"/>
  <c r="N58" i="30"/>
  <c r="M34" i="30"/>
  <c r="N34" i="30"/>
  <c r="M46" i="30"/>
  <c r="N46" i="30"/>
  <c r="M52" i="30"/>
  <c r="N52" i="30"/>
  <c r="N16" i="30"/>
  <c r="M16" i="30"/>
  <c r="M28" i="30"/>
  <c r="N28" i="30"/>
  <c r="N40" i="30"/>
  <c r="M40" i="30"/>
  <c r="M22" i="30"/>
  <c r="N22" i="30"/>
  <c r="M10" i="30"/>
  <c r="N10" i="30"/>
  <c r="N64" i="30"/>
  <c r="M64" i="30"/>
  <c r="M19" i="29"/>
  <c r="N19" i="29"/>
  <c r="N10" i="29"/>
  <c r="M10" i="29"/>
  <c r="AB10" i="29" s="1"/>
  <c r="N55" i="29"/>
  <c r="M55" i="29"/>
  <c r="M25" i="29"/>
  <c r="N25" i="29"/>
  <c r="M37" i="29"/>
  <c r="N37" i="29"/>
  <c r="N43" i="29"/>
  <c r="M43" i="29"/>
  <c r="M49" i="29"/>
  <c r="N49" i="29"/>
  <c r="N31" i="29"/>
  <c r="M31" i="29"/>
  <c r="M61" i="29"/>
  <c r="N61" i="29"/>
  <c r="M13" i="29"/>
  <c r="AB13" i="29" s="1"/>
  <c r="AA13" i="29" s="1"/>
  <c r="AC13" i="29" s="1"/>
  <c r="N13" i="29"/>
  <c r="M22" i="28"/>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18" i="26"/>
  <c r="N18" i="26"/>
  <c r="M10" i="26"/>
  <c r="N10" i="26"/>
  <c r="M24" i="26"/>
  <c r="N24" i="26"/>
  <c r="N60" i="26"/>
  <c r="M60" i="26"/>
  <c r="M42" i="26"/>
  <c r="N42" i="26"/>
  <c r="M54" i="26"/>
  <c r="N54" i="26"/>
  <c r="M48" i="26"/>
  <c r="N48" i="26"/>
  <c r="M30" i="26"/>
  <c r="N30" i="26"/>
  <c r="N36" i="26"/>
  <c r="M36" i="26"/>
  <c r="N12" i="26"/>
  <c r="M12" i="26"/>
  <c r="N57" i="25"/>
  <c r="M57" i="25"/>
  <c r="M15" i="25"/>
  <c r="N15" i="25"/>
  <c r="M51" i="25"/>
  <c r="N51" i="25"/>
  <c r="N10" i="25"/>
  <c r="M10" i="25"/>
  <c r="M39" i="25"/>
  <c r="N39" i="25"/>
  <c r="M27" i="25"/>
  <c r="N27" i="25"/>
  <c r="M21" i="25"/>
  <c r="N21" i="25"/>
  <c r="M45" i="25"/>
  <c r="N45" i="25"/>
  <c r="N33" i="25"/>
  <c r="M33" i="25"/>
  <c r="M24" i="24"/>
  <c r="N24" i="24"/>
  <c r="M30" i="24"/>
  <c r="N30" i="24"/>
  <c r="M42" i="24"/>
  <c r="N42" i="24"/>
  <c r="N36" i="24"/>
  <c r="M36" i="24"/>
  <c r="M48" i="24"/>
  <c r="N48" i="24"/>
  <c r="M12" i="24"/>
  <c r="AB12" i="24" s="1"/>
  <c r="AA12" i="24" s="1"/>
  <c r="AC12" i="24" s="1"/>
  <c r="N12" i="24"/>
  <c r="M10" i="24"/>
  <c r="N10" i="24"/>
  <c r="M18" i="24"/>
  <c r="N18" i="24"/>
  <c r="N54" i="24"/>
  <c r="M54" i="24"/>
  <c r="M60" i="24"/>
  <c r="N60"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34" l="1"/>
  <c r="AA10" i="34" s="1"/>
  <c r="AC10" i="34" s="1"/>
  <c r="AB11" i="34"/>
  <c r="AA10" i="33"/>
  <c r="AC10" i="33" s="1"/>
  <c r="AB10" i="32"/>
  <c r="AA10" i="32" s="1"/>
  <c r="AC10" i="32" s="1"/>
  <c r="AB11" i="31"/>
  <c r="AB10" i="31"/>
  <c r="AA10" i="31" s="1"/>
  <c r="AC10" i="31" s="1"/>
  <c r="AB10" i="30"/>
  <c r="AA10" i="30" s="1"/>
  <c r="AC10" i="30" s="1"/>
  <c r="AA10" i="29"/>
  <c r="AC10" i="29" s="1"/>
  <c r="AB10" i="28"/>
  <c r="AA10" i="28" s="1"/>
  <c r="AC10" i="28" s="1"/>
  <c r="AB10" i="27"/>
  <c r="AA10" i="27" s="1"/>
  <c r="AC10" i="27" s="1"/>
  <c r="AB11" i="27"/>
  <c r="AB13" i="26"/>
  <c r="AA13" i="26" s="1"/>
  <c r="AC13" i="26" s="1"/>
  <c r="AB12" i="26"/>
  <c r="AA12" i="26" s="1"/>
  <c r="AC12" i="26" s="1"/>
  <c r="AB10" i="26"/>
  <c r="AA10" i="26" s="1"/>
  <c r="AC10" i="26" s="1"/>
  <c r="AB10" i="25"/>
  <c r="AB11" i="25" s="1"/>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32" l="1"/>
  <c r="AA11" i="32" s="1"/>
  <c r="AC11" i="32" s="1"/>
  <c r="AB11" i="30"/>
  <c r="AA11" i="30" s="1"/>
  <c r="AC11" i="30" s="1"/>
  <c r="AA11" i="34"/>
  <c r="AC11" i="34" s="1"/>
  <c r="AB12" i="34"/>
  <c r="AA12" i="34" s="1"/>
  <c r="AC12" i="34" s="1"/>
  <c r="AB11" i="33"/>
  <c r="AA11" i="33" s="1"/>
  <c r="AC11" i="33" s="1"/>
  <c r="AB12" i="32"/>
  <c r="AA12" i="32" s="1"/>
  <c r="AC12" i="32" s="1"/>
  <c r="AA11" i="31"/>
  <c r="AC11" i="31" s="1"/>
  <c r="AB12" i="31"/>
  <c r="AA12" i="31" s="1"/>
  <c r="AC12" i="31" s="1"/>
  <c r="AB12" i="30"/>
  <c r="AA12" i="30" s="1"/>
  <c r="AC12" i="30" s="1"/>
  <c r="AB11" i="28"/>
  <c r="AA11" i="28" s="1"/>
  <c r="AC11" i="28" s="1"/>
  <c r="AA11" i="27"/>
  <c r="AC11" i="27" s="1"/>
  <c r="AB12" i="27"/>
  <c r="AA12" i="27" s="1"/>
  <c r="AC12" i="27" s="1"/>
  <c r="AB11" i="26"/>
  <c r="AA11" i="26" s="1"/>
  <c r="AC11" i="26" s="1"/>
  <c r="AA11" i="25"/>
  <c r="AC11" i="25" s="1"/>
  <c r="AA10" i="25"/>
  <c r="AC10" i="25" s="1"/>
  <c r="AA10" i="24"/>
  <c r="AC10" i="24" s="1"/>
  <c r="AB13" i="24"/>
  <c r="AA13" i="24" s="1"/>
  <c r="AC13" i="24" s="1"/>
  <c r="AA11" i="24"/>
  <c r="AC11"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<sst xmlns="http://schemas.openxmlformats.org/spreadsheetml/2006/main" count="1448" uniqueCount="430">
  <si>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</si>
  <si>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</si>
  <si>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</si>
  <si>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</si>
  <si>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</si>
  <si>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</si>
  <si>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</si>
  <si>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</si>
  <si>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</si>
  <si>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</si>
  <si>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</si>
  <si>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</si>
  <si>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</si>
  <si>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</si>
  <si>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</si>
  <si>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</si>
  <si>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</si>
  <si>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</si>
  <si>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</si>
  <si>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</si>
  <si>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</si>
  <si>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</si>
  <si>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</si>
  <si>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</si>
  <si>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</si>
  <si>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</si>
  <si>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</si>
  <si>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</si>
  <si>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</si>
  <si>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</si>
  <si>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</si>
  <si>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</si>
  <si>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</si>
  <si>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</si>
  <si>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</si>
  <si>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</si>
  <si>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</si>
  <si>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</si>
  <si>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</si>
  <si>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</si>
  <si>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</si>
  <si>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</si>
  <si>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</si>
  <si>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</si>
  <si>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</si>
  <si>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</si>
  <si>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</si>
  <si>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</si>
  <si>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</si>
  <si>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</si>
  <si>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</si>
  <si>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</si>
  <si>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</si>
  <si>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</si>
  <si>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</si>
  <si>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</si>
  <si>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</si>
  <si>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</si>
  <si>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</si>
  <si>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</si>
  <si>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</si>
  <si>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</si>
  <si>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</si>
  <si>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</si>
  <si>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</si>
  <si>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</si>
  <si>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</si>
  <si>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</si>
  <si>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</si>
  <si>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</si>
  <si>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</si>
  <si>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</si>
  <si>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</si>
  <si>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</si>
  <si>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</si>
  <si>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</si>
  <si>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</si>
  <si>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</si>
  <si>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</si>
  <si>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</si>
  <si>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</si>
  <si>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</si>
  <si>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</si>
  <si>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</si>
  <si>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</si>
  <si>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</si>
  <si>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</si>
  <si>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</si>
  <si>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</si>
  <si>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</si>
  <si>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</si>
  <si>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</si>
  <si>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</si>
  <si>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</si>
  <si>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</si>
  <si>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</si>
  <si>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</si>
  <si>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</si>
  <si>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</si>
  <si>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</si>
  <si>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</si>
  <si>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</si>
  <si>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</si>
  <si>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</si>
  <si>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</si>
  <si>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</si>
  <si>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</si>
  <si>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</si>
  <si>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</si>
  <si>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</si>
  <si>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</si>
  <si>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</si>
  <si>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</si>
  <si>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</si>
  <si>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</si>
  <si>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</si>
  <si>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</si>
  <si>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</si>
  <si>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</si>
  <si>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</si>
  <si>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</si>
  <si>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</si>
  <si>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</si>
  <si>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</si>
  <si>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</si>
  <si>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</si>
  <si>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</si>
  <si>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</si>
  <si>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</si>
  <si>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</si>
  <si>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</si>
  <si>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</si>
  <si>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</si>
  <si>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</si>
  <si>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</si>
  <si>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</si>
  <si>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</si>
  <si>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</si>
  <si>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</si>
  <si>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</si>
  <si>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</si>
  <si>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</si>
  <si>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</si>
  <si>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</si>
  <si>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</si>
  <si>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</si>
  <si>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</si>
  <si>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</si>
  <si>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</si>
  <si>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</si>
  <si>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</si>
  <si>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</si>
  <si>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</si>
  <si>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</si>
  <si>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</si>
  <si>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</si>
  <si>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</si>
  <si>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</si>
  <si>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</si>
  <si>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</si>
  <si>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</si>
  <si>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</si>
  <si>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</si>
  <si>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</si>
  <si>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</si>
  <si>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</si>
  <si>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</si>
  <si>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</si>
  <si>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</si>
  <si>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</si>
  <si>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</si>
  <si>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</si>
  <si>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</si>
  <si>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</si>
  <si>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</si>
  <si>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</si>
  <si>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</si>
  <si>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</si>
  <si>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</si>
  <si>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</si>
  <si>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</si>
  <si>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</si>
  <si>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</si>
  <si>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</si>
  <si>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</si>
  <si>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</si>
  <si>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</si>
  <si>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</si>
  <si>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</si>
  <si>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</si>
  <si>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</si>
  <si>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</si>
  <si>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</si>
  <si>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</si>
  <si>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</si>
  <si>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</si>
  <si>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</si>
  <si>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</si>
  <si>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</si>
  <si>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</si>
  <si>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</si>
  <si>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</si>
  <si>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</si>
  <si>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</si>
  <si>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</si>
  <si>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</si>
  <si>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</si>
  <si>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</si>
  <si>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</si>
  <si>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</si>
  <si>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</si>
  <si>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</si>
  <si>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</si>
  <si>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</si>
  <si>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</si>
  <si>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</si>
  <si>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</si>
  <si>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</si>
  <si>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</si>
  <si>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</si>
  <si>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</si>
  <si>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</si>
  <si>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</si>
  <si>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</si>
  <si>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</si>
  <si>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</si>
  <si>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Instrumentos de planificación que no responden con la realidad insttitucional</t>
  </si>
  <si>
    <t xml:space="preserve">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</si>
  <si>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</si>
  <si>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</si>
  <si>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Posibildad de afectación reputacional institucional por que no se  adelantan los procesos y actividades planeadas en el área de bienestar debido a una insuficiente asignación de recursos económicos</t>
  </si>
  <si>
    <t xml:space="preserve">Insuficiente asignación de recursos económicos
</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</si>
  <si>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</si>
  <si>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</si>
  <si>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</si>
  <si>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</si>
  <si>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</si>
  <si>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</si>
  <si>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</si>
  <si>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</si>
  <si>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</si>
  <si>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</si>
  <si>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La alta dirección determina las directrices necesarias para la presentación de los informes</t>
  </si>
  <si>
    <t>Jefe de control interno</t>
  </si>
  <si>
    <t xml:space="preserve">Proyectar la información a los responsables con fechas límites y verificar los insumos con antelación </t>
  </si>
  <si>
    <t>Definir directrices claras para la presentación de los informes</t>
  </si>
  <si>
    <t>Rectoría</t>
  </si>
  <si>
    <t>El profesional de investigación formula proyectos  alineados con las demandas territoriales en ciencia, tecnología e innovación y competitividad</t>
  </si>
  <si>
    <t>Coordinación de investigación</t>
  </si>
  <si>
    <t>Alta Dirección</t>
  </si>
  <si>
    <t>Jefe detalento humano</t>
  </si>
  <si>
    <t xml:space="preserve">Revisar la documentación con la lista de chequeo </t>
  </si>
  <si>
    <t xml:space="preserve">Revisar los requisitos del cargo con el manual de funciones </t>
  </si>
  <si>
    <t>Gestionar la provisión de cargos ante la CNSC</t>
  </si>
  <si>
    <t>Alta dirección y jefe de talento  humano</t>
  </si>
  <si>
    <t xml:space="preserve">Revisar las causales de conflicto de interes al momento de vinculación de funcionarios </t>
  </si>
  <si>
    <t>Vicerrector administrativo y financiero
Lider de TI</t>
  </si>
  <si>
    <t>Que no se adelantan los procesos y actividades planeadas en el área de bienestar</t>
  </si>
  <si>
    <t>Contatar personal para apoyar el área de bienestar</t>
  </si>
  <si>
    <t>Los profesionales vinculados al área de bienestar implementan el plan de trabajo establecido para tal fin en cada vigencia</t>
  </si>
  <si>
    <t>El Comité de Contratación verifica el cumplimiento, contenido del PAA para definir si lo planeado se ha ejecutado, a fin de tomar decisiones inmediatas</t>
  </si>
  <si>
    <t>Los supervisores de los contratos gestionan la planeación oportuna de las necesidades plasmadas en el PAA</t>
  </si>
  <si>
    <t>Elaborar con tiempo los estudios previos y documentos soportes para el proceso de contratación</t>
  </si>
  <si>
    <t>Convocar con mayor frecuencia el comité de contratación para ejercer un control sobre los procesos de contratación y compras</t>
  </si>
  <si>
    <t>Vicerrectoría administrativa y financiewra</t>
  </si>
  <si>
    <t>oficina de planeación</t>
  </si>
  <si>
    <t>Convocar los grupos de valor en los ejercicios de planeación institucional</t>
  </si>
  <si>
    <t>Posibildad de afectación económico y reputacional institucional por que no se  adelantan las gestiones para los programas de extensión debido a una insuficiente asignación de recursos económicos</t>
  </si>
  <si>
    <t xml:space="preserve">Que no se adelantan llas gestiones para los programas de extensión </t>
  </si>
  <si>
    <t>Que no se adelantan las gestiones para la ejecución de capacitacionesy movilidades académicas salientes y entrantes</t>
  </si>
  <si>
    <t xml:space="preserve">Posibildad de afectación económico y reputacional  por que no se  adelantan las gestiones para la ejecución de capacitaciones y movilidades académicas salientes y entrantes debido a una insuficiente asignación de recursos económicos </t>
  </si>
  <si>
    <t>Elaborar un plan de acción de cada vigencia con las actividades y necesidades para hacer un control y monitoreo del presupuesto</t>
  </si>
  <si>
    <t xml:space="preserve">Profesional Especializado de Extensión y Proyección Social
Profesional Universitario de Lenguas y Cultura </t>
  </si>
  <si>
    <t>El plan de acción ya se encuentra elaborado y se emplea como control de los recursos económicos apropiados</t>
  </si>
  <si>
    <t xml:space="preserve">La alta dirección gestiona los recursos necesarios para garantizar el normal funcionamiento de los programas de extensión </t>
  </si>
  <si>
    <t xml:space="preserve">Incluir dentro de la planeación estratégica las necesidades de extensión de acuerdo a los planes de acción respectivos </t>
  </si>
  <si>
    <t>No garantizar la correcta ejecución de la oferta  académica institucional</t>
  </si>
  <si>
    <t xml:space="preserve">Pérdida o no renovación de los registros calificados  </t>
  </si>
  <si>
    <t>Posibilidad de pérdida reputacional por no garantizar la correcta ejecución de la oferta académica institucional debido a  la pérdida o no renovación de los registros calificados</t>
  </si>
  <si>
    <t xml:space="preserve">El área de vicerrectoría academica realiza el seguimiento a la ejecución de los programas </t>
  </si>
  <si>
    <t xml:space="preserve">Revisar el documento de cada programa para hacer el seguimiento al cumplimiento de lo allí consignado </t>
  </si>
  <si>
    <t>Vicerectoría académica</t>
  </si>
  <si>
    <t>La revisión se realiza cada vez que se requiera</t>
  </si>
  <si>
    <t>El coordinador academico diligencia las plantillas con la información académica requierida para ser cargada al SNIES</t>
  </si>
  <si>
    <t>Coordinador académico</t>
  </si>
  <si>
    <t>Diiligenciar la información del SNIES  de forma semestral para mantener y actualizar la información académica</t>
  </si>
  <si>
    <t>La alta dirección gestiona los recursos necesarios para garantizar el normal funcionamiento de los programas y proyectos de investigación, innovación, creación artística y cultural</t>
  </si>
  <si>
    <t>Posibildad de afectación económico y reputacional institucional por que no se  adelantan las gestiones para la formulación de programas y proyectos de investigación, innovación, creación artística y cultural debido a una insuficiente asignación de recursos económicos</t>
  </si>
  <si>
    <t>Posibildad de afectación reputacional debido a pérdida de Integridad de la información o configuración de los servicios gestionados por el área de sistemas debido a  ataques informáticos, fallas eléctricas, errores de configuración, errores humanos, fallas tecnológicas o vulnerabilidades  en el software y hardware</t>
  </si>
  <si>
    <t>Pérdida de Integridad de la información o configuración de los servicios gestionados por el área de sistemas</t>
  </si>
  <si>
    <t>Ataques informáticos, fallas eléctricas, errores de configuración, errores humanos, fallas tecnológicas o vulnerabilidades  en el software y hardware</t>
  </si>
  <si>
    <t>Coordinar  la ejecución del plan de recuperación a través de todos los líderes técnicos de los sistemas y plataformas de TI</t>
  </si>
  <si>
    <t xml:space="preserve">Coordinar  las actuaizaciones con el personal técnico </t>
  </si>
  <si>
    <t>Posibildad de afectación reputacional por pérdida de integridad de la información debido a  publicación en redes por parte de personal no autorizado  o modificación de  contenidos</t>
  </si>
  <si>
    <t xml:space="preserve">Pérdida  de integridad  de la información </t>
  </si>
  <si>
    <t>Publicación en redes por parte de personal no autorizado o modificación de contenidos</t>
  </si>
  <si>
    <t>El profesional encargado de la administración de las redes sociales determina los roles y responsabilidades del personal del área de comunicaciones</t>
  </si>
  <si>
    <t xml:space="preserve">Realizar una reunión con el equipo de trabajo para formalizar la asignación  de los roles y responsabilidades </t>
  </si>
  <si>
    <t xml:space="preserve">Líder del área de comunicaciones </t>
  </si>
  <si>
    <t>Los profesionales de la oficina de planeación junto con los líderes de procesos y sus apoyos, documentan la información generada en los ejercicios de planeación institucional y participación ciudadana</t>
  </si>
  <si>
    <t>Posibildad de afectación reputacional porque no se implementan las TRD debido a la falta de apropiación de los productores documentales en las oficinas</t>
  </si>
  <si>
    <t xml:space="preserve"> Falta de apropiación de los productores documentales en las oficinas
</t>
  </si>
  <si>
    <t xml:space="preserve">No se implementan las TRD </t>
  </si>
  <si>
    <t xml:space="preserve">La jefe del área  gestiona el programa de capacitación en gestión documental </t>
  </si>
  <si>
    <t>Realizar jornadas de capcitación en manejo de las TRD</t>
  </si>
  <si>
    <t xml:space="preserve">El área de gestión documental incentiva las transferencias documentales mediante campaña de apropiación </t>
  </si>
  <si>
    <t xml:space="preserve">Se cuenta con el personal idóneo para las actividades del área </t>
  </si>
  <si>
    <t>Posibildad de afectación económica y reputacional institucional por que no se adelantan la inscripción, modificación o renovación de los registros calificados debido a un inadecuado manejo de las  condiciones de calidad</t>
  </si>
  <si>
    <t xml:space="preserve">Inadecuado manejo de las condiciones de calidad
</t>
  </si>
  <si>
    <t xml:space="preserve">No se adelantan la inscripción, modificación o renovación  de los registros calificados </t>
  </si>
  <si>
    <t xml:space="preserve">La alta dirección vincula personal especializado para el proceso de inscripción, modificación o renovación de registros calificados </t>
  </si>
  <si>
    <t xml:space="preserve">Posibildad  de pérdida reputacional por insatisfacción de los grupos de valor o sanciones de entes de control debido al incumplimiento de los términos de ley para la atención de requerimientos </t>
  </si>
  <si>
    <t>Insatisfacción de los grupos de valor o sanciones de entes de contro</t>
  </si>
  <si>
    <t xml:space="preserve">Incumplimiento de los términos de ley para la atención de requerimientos 
</t>
  </si>
  <si>
    <t>Líder área servicio al ciudadano</t>
  </si>
  <si>
    <t>El líder del proceso efectúa reunión con el personal del área de servicio al ciudadano con el propósito de establecer la estrategia para atender oportunamente todos los requerimientos de los grupos de valor</t>
  </si>
  <si>
    <t xml:space="preserve">Supervisores de contratos </t>
  </si>
  <si>
    <t xml:space="preserve">Los supervisores de contratos envían a tiempo sus necesidades a contratar </t>
  </si>
  <si>
    <t>Se revisa los requisitos del cargo con el manual de funciones</t>
  </si>
  <si>
    <t>La Alta Dirección aprueba la contratación del personal requerido para apoyar el área de bienestar en la ejecución de las actividades planteadas en el plan operativo</t>
  </si>
  <si>
    <t xml:space="preserve">El plan de trabajo se elabora en cada vigencia con el área de planeación </t>
  </si>
  <si>
    <t xml:space="preserve">Profesional Universitario de Bienestar </t>
  </si>
  <si>
    <t xml:space="preserve">El jefe de control interno envio con antelación las necesidades de información a las áreas responsables para la consolidación de los informes de ley </t>
  </si>
  <si>
    <t xml:space="preserve">DIRECCIONAMIENTO </t>
  </si>
  <si>
    <t>Dirigir, gestionar y supervisar los recursos necesarios para el cumplimiento de objetivos y metas institucionales, con base en la normatividad vigente y políticas aplicables al sector para la mejora continua.</t>
  </si>
  <si>
    <t xml:space="preserve">GESTION ACADEMICA </t>
  </si>
  <si>
    <t>Coordinar  las actividades académicas desarrolladas en la educación superior en INFOTEP, para formar el recurso humano calificado en el Departamento Archipiélago de San Andrés, Providencia, y Santa Catalina, en las áreas de competencia de la Institución.</t>
  </si>
  <si>
    <t>Inicia con el diseño del programa, currículo y módulo académico y finaliza con la implementación de acciones correctivas o correcciones y gestión del riesgo con base en la evaluación del proceso</t>
  </si>
  <si>
    <t>Dirigir, incentivar y mantener el talento humano de INFOTEP para cumplir con los objetivos, metas y políticas institucionales, determinando competencias laborales adecuadas (educación, formación, habilidades y experiencia) para la prestación de los servicios.</t>
  </si>
  <si>
    <t>Inicia con la formulación de planes y programas para la gestión del talento humanoy finaliza con la implementación de gestión de riesgos, acciones correctivas o correcciones, con base en la evaluación de la gestión del proceso</t>
  </si>
  <si>
    <t xml:space="preserve">Planear y ejecutar programas dirigidos a estudiantes y  egresados desde los diferentes componentes del área de bienestar los cuales son: recreación y deporte, arte y cultura, salud, apoyo socioeconómico y permanencia y graduación. </t>
  </si>
  <si>
    <t>GESTION DEL TALENTO HUMANO</t>
  </si>
  <si>
    <t>BIENESTAR ESTUDIANTIL</t>
  </si>
  <si>
    <t>Inica con la formulación de instrumentos de planificación de largo, mediano y corto plazo y finaliza con la evaluación de la gestión del proceso y toma de decisiones para el mejoramiento continuo</t>
  </si>
  <si>
    <t xml:space="preserve">Inicia con la identifcación de las necesidades relacionadas con recreación y deporte, arte y cultura, salud, apoyo socioeconómico y permanencia y graduación y finaliza con la evaluación de las actividades ejecutadas </t>
  </si>
  <si>
    <t xml:space="preserve">GESTION LEGAL ADMINSTRATIVA Y FINANCIERA </t>
  </si>
  <si>
    <t>Administrar, ejecutar y gestionar los recursos necesarios para el cabal desempeño de las políticas, objetivos y metas institucionales, observando los principios de transparencia, eficiencia y eficacia, dando aplicabilidad a la normatividad vigente.</t>
  </si>
  <si>
    <t>Inicia con la Identificación de las necesidades y requerimientos y finaliza con la implementación de controles de riesgos, correctivas o correcciones, con base en la evaluación de la gestión del proceso</t>
  </si>
  <si>
    <t xml:space="preserve">EtXTENSION Y PROYECCION SOCIAL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</si>
  <si>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</si>
  <si>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Inicia con la formulación de planes,  programas académicos de extensión, proyectos sociales, convenios  y movilidad académica Y finaliza con la mplementación de acciones  correctivas o correcciones y gestión de riesgos con base en la evaluación del proceso</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</si>
  <si>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</si>
  <si>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INTERNACIONALIZACION Y BILINGUISMO</t>
  </si>
  <si>
    <t>Inicia con la formulación de los ejes misionales del proceso y finaliza con la Implementación de acciones  correctivas o correcciones y gestión de riesgos con base en la evaluación del proceso para obtener una presencia y visiiblidad regional y mundial</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</si>
  <si>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</si>
  <si>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INVESTIGACION, INNOVACION, CREACION ARTISTICA Y CULTURAL </t>
  </si>
  <si>
    <t>Inicia con la formulación de planes, programas, estrategias o proyectos de investigación, innovación, creación artística y cultural y finaliza con la implementación de acciones, correctivas o correcciones y gestión de riesgos con base en la evaluación  del proceso</t>
  </si>
  <si>
    <t>Diseñar, fortalecer y mantener la infraestructura y servicios tecnológicos que soportan la gestión de la entidad, a partir del uso de tecnologías  y de desarrollos tecnológicos que permitan el logro de los objetivos institucionales.</t>
  </si>
  <si>
    <t xml:space="preserve">GESTION TECNOLOGICA </t>
  </si>
  <si>
    <t>Inicia con la identificación de las necesidades y requerimientos y finaliza con la implementación de controles de riesgos, acciones correctivas o correcciones, con base en la evaluación de la gestión del proceso</t>
  </si>
  <si>
    <t xml:space="preserve">Diseñar estrategias comunicativas y de mercadeo para mejorar la imagen de la institución </t>
  </si>
  <si>
    <t>COMUNICACIONES Y MERCADEO</t>
  </si>
  <si>
    <t>Inicia con la elaboración de los planes de comunicaciones, mercadeo y medios y finaliza con la evaluación de la gestión del proceso y toma de decisiones para el mejoramiento continuo</t>
  </si>
  <si>
    <t xml:space="preserve">Adelantar la planificación, manejo y organización de la información documental producida y recibida por el INFOTEP, desde su origen hasta su destino final con el objeto de facilitar su utilización y conservación </t>
  </si>
  <si>
    <t>Inicia con la identificación de las necesidades o requerimientos por parte del proceso y/o usuarios hacia la gestión de información documental Y finaliza con la iImplementación  de controles de riesgos,, correctivas o correcciones, con base en la evaluación de la gestión del proceso</t>
  </si>
  <si>
    <t xml:space="preserve">GESTION DOCUMENTAL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</si>
  <si>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</si>
  <si>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SERVICIO AL CIUDADANO</t>
  </si>
  <si>
    <t>inicia con la presentación de las solicitudes de trámites, servicios, peticiones, quejas, reclamos, sugerencias, denuncias y felicitaciones de la ciudadanía a través de los diferentes canales de atención y finakiza con la prestación de los servicios o atención de las PQRSDF  y la medición de la satisfacción de  los  usuarios  frente  a  la  prestación  de  los trámites y servicios.</t>
  </si>
  <si>
    <t>SISTEMA INTERNO DE ASEGURAMIENTO DE LA CALIDAD</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</si>
  <si>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</si>
  <si>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Desde la planeación y finaliza  con la implementación de acciones correctivas o correcciones y gestión del riesgo con base en la evaluación del proceso con el fin de tomar decisiones</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</si>
  <si>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</si>
  <si>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Inicia con la definición  y aprobacion del plan de trabajo de Control Interno (Plan Anual de Auditoría) para la generación y entrega de informes a la Alta Dirección y líderes de los procesos  que  ayuden a verificar la efectividad de los controles definidos por El INFOTEP  para el alcance de los objetivos y metas institucionales y finaliza con la ejecucion de las actividades de dichoplan   y  finaliza con la presentación de los resultados al Comité Institucional de Coordinación de Control Interno y la  implementación y cierre de acciones preventivas, correctivas y correcciones por parte del proceso  cuando apliquen</t>
  </si>
  <si>
    <t>GESTION Y EVALUACION INTEGRAL</t>
  </si>
  <si>
    <t>Se realiza la verifcación de los requisitos para ocupar un cargo mediante la lista de chequeo</t>
  </si>
  <si>
    <t>El profesional encargado del área de atención al ciudadano revisa diariamente la plataforma SAC con el fin determinar las fechas próximas de vencimiento de las respuestas, para lo cual manda un correo electrónico notificando al responsable, que la fecha de respuesta está próxima a vencerse.</t>
  </si>
  <si>
    <t xml:space="preserve">Se realiza de forma anticipada, la planeación para identificar las necesidades del área de extensión y su alineación dentro de los planes de acción de la entidad </t>
  </si>
  <si>
    <t>Las actividades del plan de trabajo se cumplen según lo programado pero está sujeto a cambios que realice la alta dirección en el presupuesto disponible</t>
  </si>
  <si>
    <t>Posibildad de afectación reputacional institucional por la insatisfacción de los grupos de valor debido a que las actividades ejecutadas no cumplen con sus expectativas</t>
  </si>
  <si>
    <t xml:space="preserve">Insatisfacción de los grupos de valor </t>
  </si>
  <si>
    <t>Las actividades ejecutadas no cumplen con sus expectativas</t>
  </si>
  <si>
    <t>Realizar encuestas de percepción a los grupos de valor para identifcar las necesidades y expectativas en cuanto a las actividades de bienestar estudiantil</t>
  </si>
  <si>
    <t>Biienastar</t>
  </si>
  <si>
    <t xml:space="preserve">La alta dirección define las directrices para la respuesta a los informes </t>
  </si>
  <si>
    <t>Involucrar a los  grupos de valor en los ejercicios de planeación institucional</t>
  </si>
  <si>
    <t>Vicerrectoría académica
Profesional de Calidad</t>
  </si>
  <si>
    <t>No se adelantan las gestiones para la formulación de programas y proyectos de investigación, innovación, creación artística y cultural</t>
  </si>
  <si>
    <t>Pérdida de conocimiento del personal</t>
  </si>
  <si>
    <t xml:space="preserve">Posibildad de afectación  reputacional institucional por pérdida de conocimiento del personal debido a falta de mecanismos que permitan retener el conocimiento tácito y explícito tanto individual como grupal u organizacional </t>
  </si>
  <si>
    <t xml:space="preserve">Falta de mecanismos que permitan retener el conocimiento tácito y explícito tanto individual como grupal u organizacional </t>
  </si>
  <si>
    <t xml:space="preserve">Los contenidos son generados por el comunity manager y revisados por el líder de comunicaciones  
En caso de otros contenidos (boletines de prensa) son redactados y revisados por el líder de comunicaciones </t>
  </si>
  <si>
    <t>Los líderes de procesos fomentan acciones como:
Identificar, documentar, consolidar y compartir buenas prácticas y lecciones aprendidas, especialmente en las áreas misionales
Disponer de espacios institucionales  y estrategias para compartir el conocimiento tácito y explícito de la entidad con énfasis en los productos de conocimiento
Disponer de políticas de protección de datos, confidencialidad y propiedad intelectual</t>
  </si>
  <si>
    <t>Alta Dirección
Líderes de procesos</t>
  </si>
  <si>
    <t>El grupo de Investigación formula proyectos enfocados en ciencia, tecnología, innovación y competitividad de acuerdo a las demandas territoriales o necesidades de la institución</t>
  </si>
  <si>
    <t xml:space="preserve">El grupo de investigación fomenta que dentro de la planeación estratégica se incluyan las necesidades de investigación, innovación, creación artística y cultural  de acuerdo a los planes de acción respectivos </t>
  </si>
  <si>
    <t>Los líderes de procesos propician acciones para la conservación, transferencia y  del conocimiento tácito y explícito así como la puesta en marcha de políticas relacionadas con ello</t>
  </si>
  <si>
    <t>En la actualidad hay 3 cargos que se provisionaron en carrera  esperando la certificación del CNSC</t>
  </si>
  <si>
    <t>Para ocupar el cargo de funcionarios se diligencia un formato de declaración de conflicto de interés de la función pública</t>
  </si>
  <si>
    <t>Posibilidad de afectación de las actividades de extensión debido a la escasez de aulas para el desarrollo de actividades de educación continua</t>
  </si>
  <si>
    <t>Afectación de las actividades de extensión</t>
  </si>
  <si>
    <t>Escasez de aulas para el desarrollo de actividades de educación continua</t>
  </si>
  <si>
    <t xml:space="preserve">La alta dirección gestiona los espacios  necesarios para garantizar el normal funcionamiento de los programas de extensión </t>
  </si>
  <si>
    <t xml:space="preserve">Incluir dentro de la planeación estratégica las necesidades de aulas del procesos de extensión de acuerdo a los planes de acción respectivos </t>
  </si>
  <si>
    <t>Se presentaron las necesidades  a la alta dirección para la gestión respectiva</t>
  </si>
  <si>
    <t xml:space="preserve">La Alta Dirección gestiona con antelación los recursos económicos para el funcionamiento del área </t>
  </si>
  <si>
    <t>Porque no se  cumplen con las actividades programadas</t>
  </si>
  <si>
    <t>Baja asistencia y pariticipación de los docentes de planta</t>
  </si>
  <si>
    <t>El área talento humano realiza el  monitoreo y seguimiento del cumplimiento de funciones de los docentes de planta  de acuerdo a la asignación académica establecida por la Vicerrectoría Académica</t>
  </si>
  <si>
    <t>Realizar seguimientos periódicos al desempeño de los docentes de planta según sus funciones asignadas por la Vicerrectoría académica</t>
  </si>
  <si>
    <t xml:space="preserve">Vicerrectoria Académica
Profesional Talento Humano
</t>
  </si>
  <si>
    <t>Auen no se ha llevado a cabo el control establecido</t>
  </si>
  <si>
    <t>Posibildad de afectación reputacional  porque no se  cumplen con las actividades programadas debido a la baja asistencia y pariticipación de los docentes de planta</t>
  </si>
  <si>
    <t xml:space="preserve">Se han formulado  7 proyectos de investigación por estudiantes del semillero de investigación y uno con la Universidad Simón Bolivar y CORALINA en restauración de Corales.
Adicionalmente, la entidad está postulada a un proyecto de vocaciones tempranas (Ondas) con MInCIencias
</t>
  </si>
  <si>
    <t>Las necesidades  se alinearon y se plasmaron en los instrumentos de planficación, de corto, mediano y largo plazo para el formento y fortalecimiento de la cultura investigativa.
Se dio apertura a la convocatoria de estímulos e incentivos a la producción investigativa accediendo a ella, 3 investigadores</t>
  </si>
  <si>
    <t xml:space="preserve">Se han realizado acciones de documentación de las buenas prácticas y lecciones aprendidas en diferentes temáticas para 
evitar la fuga del conocimiento así como la creación de espacios y estrategias de compartir el conocimiento dentro y por fuera de la entidad </t>
  </si>
  <si>
    <t xml:space="preserve">El cargue semestral del SNIES es una herramienta de seguimiento y control de los programas académicos ofertados </t>
  </si>
  <si>
    <t>El Líder del área de sistemas convoca reunión inmediata cuando se presente un incidente o evento potencial de seguridad de la información para gestionar de manera efectiva y oportuna los incidentes de seguridad</t>
  </si>
  <si>
    <t xml:space="preserve">Se cuenta con un formato de incidentes en caso de que se presenten y se diligencia con las acciones a implementar </t>
  </si>
  <si>
    <t xml:space="preserve">El líder del área de sistemas gestiona la actualización periodica de los sistemas de información </t>
  </si>
  <si>
    <t>Se revisa el historial de actualizaciones en cada uno de los sistemas de información de manera trimestral</t>
  </si>
  <si>
    <t>Error en la transcripción de los valores  al sistema</t>
  </si>
  <si>
    <t xml:space="preserve">No revisión adecuada de los soportes para el pago
</t>
  </si>
  <si>
    <t xml:space="preserve">Posibildad de afectación económica de  pago incongruente a terceros por error en la transcripción de los valores al sistema debido a una revisión inadecuada de soportes para el pago
</t>
  </si>
  <si>
    <t>Elaborar la estrategia de atención oportuna de los requerimientos la cual se encuentra dentro del Plan anticorrupción y atención al ciudadano- PAAC</t>
  </si>
  <si>
    <t>Se aplicarán las encuestas de percepción para identificar las necesidades y expectativas de los grupos de valor con el fin de diseñar el plan operativo de bienestar</t>
  </si>
  <si>
    <t>Se aplican las encuestas de satisfacción se llevan a cabo según la actividad. Es necesario aumentar el universo encuestado para arrojar  información con mayor representividad</t>
  </si>
  <si>
    <t>Se realizaron las transferencias primarias al archivo central de las oficinas de contratación, admisiones y extensión</t>
  </si>
  <si>
    <t>Se realizaron las capacitaciones programadas de acuerdo al cronograma planteado para la vigencia</t>
  </si>
  <si>
    <t>Realizar una jornada de apropiación de las transferencias documentales  dentro de las actividades de MIPG</t>
  </si>
  <si>
    <t>Vicerrector administrativo y financiero
Líder de gestión documental</t>
  </si>
  <si>
    <t xml:space="preserve">Posibildad de afectación reputacional  porque los instrumentos de planificación no responden con la realidad institucional debido a un inadecuado proceso de planeación con los grupos de valor y partes interesadas
</t>
  </si>
  <si>
    <t>Se involucra a los grupos de valor en los procesos estratégicos  y de participación ciudadana de la entidad. Para la formulación del Plan de Desarrollo  se involucraron los grupos de valor en los diferentes sectores y la comunidad educativa de las islas</t>
  </si>
  <si>
    <t>Al comité de contratación se llevan los estudios previos para revisión y aprobación teniendo la certificación del almacenista de que dicho objeto se encuentra dentro del PAA</t>
  </si>
  <si>
    <t>Los personas del área financiera revisan los documentos soportes desde la radicación de cuentas hasta la realización de los pagos  y verifican con la lista de chequeo</t>
  </si>
  <si>
    <t xml:space="preserve">Revisar continuamente los soportes de las cuentas hasta la realización de los pagos y verificar con la lista de chequeo que se tiene para este procedimiento </t>
  </si>
  <si>
    <t>Se verifica cada cuenta con ssus soportes respectivos antes de realizar el pago</t>
  </si>
  <si>
    <t xml:space="preserve">Realizar monitoreo constante del vencimiento de las renovaciones de los registros calificados
Realizar las gestiones necesarias para la inscripción de nuevos programas en el caso de que se requieran
Verificar el cumplimiento de las condiciones de calidad institucionales 
Recopilar evidencias para la continuidad de los programas académicos
Definir estrategias para el cumplimiento de las condiciones de calidad
</t>
  </si>
  <si>
    <t xml:space="preserve">Los registros calificados de tres (3) programas  estan vencidos, sin embargo se les garantiza a los estudiantes que ingresaron antes del vencimiento, la culminación de su programa debido a la presentación de planes de contingencia al MEN
</t>
  </si>
  <si>
    <t>Se  realizó un trabajo conjunto entre los líderes de procesos y profesionales de planeación en torno a los ejercicios de planeación y participación ciudadana para la formulación del Plan de Desarrollo 2024-2027 y el plan de acción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</si>
</sst>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405">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xf numFmtId="0" fontId="50" fillId="3" borderId="52" xfId="2" applyFont="1" applyFill="1" applyBorder="1"/>
    <xf numFmtId="0" fontId="50" fillId="3" borderId="53" xfId="2" applyFont="1" applyFill="1" applyBorder="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xf numFmtId="0" fontId="50" fillId="3" borderId="15" xfId="2" applyFont="1" applyFill="1" applyBorder="1"/>
    <xf numFmtId="0" fontId="50" fillId="3" borderId="16" xfId="2" applyFont="1" applyFill="1" applyBorder="1"/>
    <xf numFmtId="0" fontId="50" fillId="3" borderId="18" xfId="2" applyFont="1" applyFill="1" applyBorder="1"/>
    <xf numFmtId="0" fontId="50" fillId="3" borderId="17" xfId="2" applyFont="1" applyFill="1" applyBorder="1"/>
    <xf numFmtId="0" fontId="54" fillId="3" borderId="0" xfId="2" applyFont="1" applyFill="1" applyAlignment="1">
      <alignment horizontal="left" vertical="center" wrapText="1"/>
    </xf>
    <xf numFmtId="0" fontId="50" fillId="3" borderId="0" xfId="2" applyFont="1" applyFill="1" applyAlignment="1">
      <alignment horizontal="left" vertical="center" wrapText="1"/>
    </xf>
    <xf numFmtId="0" fontId="50" fillId="3" borderId="0" xfId="2" quotePrefix="1" applyFont="1" applyFill="1" applyAlignment="1">
      <alignment horizontal="left" vertical="center" wrapText="1"/>
    </xf>
    <xf numFmtId="0" fontId="52" fillId="3" borderId="14" xfId="2" quotePrefix="1" applyFont="1" applyFill="1" applyBorder="1" applyAlignment="1">
      <alignment horizontal="left" vertical="top" wrapText="1"/>
    </xf>
    <xf numFmtId="0" fontId="53" fillId="3" borderId="0" xfId="2" quotePrefix="1" applyFont="1" applyFill="1" applyAlignment="1">
      <alignment horizontal="left" vertical="top" wrapText="1"/>
    </xf>
    <xf numFmtId="0" fontId="53"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14" fontId="1" fillId="0" borderId="2" xfId="0" applyNumberFormat="1" applyFont="1" applyBorder="1" applyAlignment="1" applyProtection="1">
      <alignment horizontal="center" vertical="top" wrapText="1"/>
      <protection locked="0"/>
    </xf>
    <xf numFmtId="14" fontId="1" fillId="3" borderId="2" xfId="0" applyNumberFormat="1" applyFont="1" applyFill="1" applyBorder="1" applyAlignment="1" applyProtection="1">
      <alignment horizontal="center" vertical="top"/>
      <protection locked="0"/>
    </xf>
    <xf numFmtId="0" fontId="1" fillId="3" borderId="2"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protection locked="0"/>
    </xf>
    <xf numFmtId="0" fontId="4" fillId="0" borderId="4" xfId="0" applyFont="1" applyBorder="1" applyAlignment="1" applyProtection="1">
      <alignment horizontal="center" vertical="top"/>
      <protection hidden="1"/>
    </xf>
    <xf numFmtId="9" fontId="1" fillId="0" borderId="4" xfId="0" applyNumberFormat="1" applyFont="1" applyBorder="1" applyAlignment="1" applyProtection="1">
      <alignment horizontal="center" vertical="top" wrapText="1"/>
      <protection hidden="1"/>
    </xf>
    <xf numFmtId="0" fontId="1" fillId="0" borderId="4" xfId="0" applyFont="1" applyBorder="1" applyAlignment="1">
      <alignment horizontal="center" vertical="top"/>
    </xf>
    <xf numFmtId="0" fontId="1" fillId="0" borderId="4"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4" fillId="0" borderId="4" xfId="0" applyFont="1" applyBorder="1" applyAlignment="1" applyProtection="1">
      <alignment horizontal="center" vertical="top" wrapText="1"/>
      <protection hidden="1"/>
    </xf>
    <xf numFmtId="9" fontId="1" fillId="0" borderId="4" xfId="0" applyNumberFormat="1" applyFont="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2" fillId="0" borderId="4" xfId="0" applyFont="1" applyBorder="1" applyAlignment="1" applyProtection="1">
      <alignment horizontal="center" vertical="top" wrapText="1"/>
      <protection locked="0"/>
    </xf>
    <xf numFmtId="0" fontId="2" fillId="0" borderId="4" xfId="0" applyFont="1" applyBorder="1" applyAlignment="1" applyProtection="1">
      <alignment horizontal="justify" vertical="top" wrapText="1"/>
      <protection locked="0"/>
    </xf>
    <xf numFmtId="0" fontId="56" fillId="3" borderId="64" xfId="2" applyFont="1" applyFill="1" applyBorder="1" applyAlignment="1">
      <alignment horizontal="justify" vertical="center" wrapText="1"/>
    </xf>
    <xf numFmtId="0" fontId="56" fillId="3" borderId="65" xfId="2" applyFont="1" applyFill="1" applyBorder="1" applyAlignment="1">
      <alignment horizontal="justify" vertical="center"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5" fillId="3" borderId="58" xfId="3" applyFont="1" applyFill="1" applyBorder="1" applyAlignment="1">
      <alignment horizontal="left" vertical="top" wrapText="1" readingOrder="1"/>
    </xf>
    <xf numFmtId="0" fontId="55" fillId="3" borderId="59" xfId="3" applyFont="1" applyFill="1" applyBorder="1" applyAlignment="1">
      <alignment horizontal="left" vertical="top" wrapText="1" readingOrder="1"/>
    </xf>
    <xf numFmtId="0" fontId="56" fillId="3" borderId="60" xfId="2" applyFont="1" applyFill="1" applyBorder="1" applyAlignment="1">
      <alignment horizontal="justify" vertical="center" wrapText="1"/>
    </xf>
    <xf numFmtId="0" fontId="56" fillId="3" borderId="61" xfId="2" applyFont="1" applyFill="1" applyBorder="1" applyAlignment="1">
      <alignment horizontal="justify" vertical="center" wrapText="1"/>
    </xf>
    <xf numFmtId="0" fontId="55" fillId="3" borderId="62" xfId="0" applyFont="1" applyFill="1" applyBorder="1" applyAlignment="1">
      <alignment horizontal="left" vertical="center" wrapText="1"/>
    </xf>
    <xf numFmtId="0" fontId="55" fillId="3" borderId="63" xfId="0" applyFont="1" applyFill="1" applyBorder="1" applyAlignment="1">
      <alignment horizontal="left" vertical="center" wrapText="1"/>
    </xf>
    <xf numFmtId="0" fontId="50" fillId="3" borderId="14" xfId="2" applyFont="1" applyFill="1" applyBorder="1" applyAlignment="1">
      <alignment horizontal="left" vertical="top" wrapText="1"/>
    </xf>
    <xf numFmtId="0" fontId="50" fillId="3" borderId="0" xfId="2" applyFont="1" applyFill="1" applyAlignment="1">
      <alignment horizontal="left" vertical="top" wrapText="1"/>
    </xf>
    <xf numFmtId="0" fontId="50" fillId="3" borderId="15" xfId="2" applyFont="1" applyFill="1" applyBorder="1" applyAlignment="1">
      <alignment horizontal="left" vertical="top" wrapText="1"/>
    </xf>
    <xf numFmtId="0" fontId="55" fillId="3" borderId="73" xfId="0" applyFont="1" applyFill="1" applyBorder="1" applyAlignment="1">
      <alignment horizontal="left" vertical="center" wrapText="1"/>
    </xf>
    <xf numFmtId="0" fontId="55" fillId="3" borderId="74" xfId="0" applyFont="1" applyFill="1" applyBorder="1" applyAlignment="1">
      <alignment horizontal="left" vertical="center" wrapText="1"/>
    </xf>
    <xf numFmtId="0" fontId="56" fillId="3" borderId="66" xfId="0" applyFont="1" applyFill="1" applyBorder="1" applyAlignment="1">
      <alignment horizontal="justify" vertical="center" wrapText="1"/>
    </xf>
    <xf numFmtId="0" fontId="56" fillId="3" borderId="67" xfId="0" applyFont="1" applyFill="1" applyBorder="1" applyAlignment="1">
      <alignment horizontal="justify" vertical="center" wrapText="1"/>
    </xf>
    <xf numFmtId="0" fontId="51" fillId="14" borderId="48" xfId="2" applyFont="1" applyFill="1" applyBorder="1" applyAlignment="1">
      <alignment horizontal="center" vertical="center" wrapText="1"/>
    </xf>
    <xf numFmtId="0" fontId="51" fillId="14" borderId="49" xfId="2" applyFont="1" applyFill="1" applyBorder="1" applyAlignment="1">
      <alignment horizontal="center" vertical="center" wrapText="1"/>
    </xf>
    <xf numFmtId="0" fontId="51" fillId="14"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0" fillId="0" borderId="69" xfId="2" quotePrefix="1" applyFont="1" applyBorder="1" applyAlignment="1">
      <alignment horizontal="left" vertical="center" wrapText="1"/>
    </xf>
    <xf numFmtId="0" fontId="50" fillId="0" borderId="70" xfId="2" quotePrefix="1" applyFont="1" applyBorder="1" applyAlignment="1">
      <alignment horizontal="left" vertical="center" wrapText="1"/>
    </xf>
    <xf numFmtId="0" fontId="52" fillId="3" borderId="51"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53" xfId="2" quotePrefix="1" applyFont="1" applyFill="1" applyBorder="1" applyAlignment="1">
      <alignment horizontal="left" vertical="top" wrapText="1"/>
    </xf>
    <xf numFmtId="0" fontId="50" fillId="0" borderId="14" xfId="2" quotePrefix="1" applyFont="1" applyBorder="1" applyAlignment="1">
      <alignment horizontal="left" vertical="top" wrapText="1"/>
    </xf>
    <xf numFmtId="0" fontId="50" fillId="0" borderId="0" xfId="2" quotePrefix="1" applyFont="1" applyAlignment="1">
      <alignment horizontal="left" vertical="top" wrapText="1"/>
    </xf>
    <xf numFmtId="0" fontId="50" fillId="0" borderId="15" xfId="2" quotePrefix="1" applyFont="1" applyBorder="1" applyAlignment="1">
      <alignment horizontal="left" vertical="top" wrapText="1"/>
    </xf>
    <xf numFmtId="0" fontId="55" fillId="14" borderId="54" xfId="3" applyFont="1" applyFill="1" applyBorder="1" applyAlignment="1">
      <alignment horizontal="center" vertical="center" wrapText="1"/>
    </xf>
    <xf numFmtId="0" fontId="55" fillId="14" borderId="55" xfId="3" applyFont="1" applyFill="1" applyBorder="1" applyAlignment="1">
      <alignment horizontal="center" vertical="center" wrapText="1"/>
    </xf>
    <xf numFmtId="0" fontId="55" fillId="14" borderId="56" xfId="2" applyFont="1" applyFill="1" applyBorder="1" applyAlignment="1">
      <alignment horizontal="center" vertical="center"/>
    </xf>
    <xf numFmtId="0" fontId="55"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4" fillId="2" borderId="2" xfId="0" applyFont="1" applyFill="1" applyBorder="1" applyAlignment="1">
      <alignment horizontal="center" vertical="center" textRotation="90"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top"/>
      <protection locked="0"/>
    </xf>
    <xf numFmtId="0" fontId="1" fillId="3" borderId="8" xfId="0" applyFont="1" applyFill="1" applyBorder="1" applyAlignment="1" applyProtection="1">
      <alignment horizontal="center" vertical="top"/>
      <protection locked="0"/>
    </xf>
    <xf numFmtId="0" fontId="1" fillId="3" borderId="5" xfId="0" applyFont="1" applyFill="1" applyBorder="1" applyAlignment="1" applyProtection="1">
      <alignment horizontal="center" vertical="top"/>
      <protection locked="0"/>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9" xfId="0" applyFont="1" applyBorder="1" applyAlignment="1">
      <alignment horizontal="center" vertical="center" wrapText="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4"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6" fillId="0" borderId="0" xfId="0" applyFont="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4" xfId="0" applyFont="1" applyBorder="1" applyAlignment="1">
      <alignment horizontal="center" vertical="center" wrapText="1"/>
    </xf>
    <xf numFmtId="0" fontId="44" fillId="0" borderId="0" xfId="0" applyFont="1" applyAlignment="1">
      <alignment horizontal="center" vertical="center"/>
    </xf>
    <xf numFmtId="0" fontId="44" fillId="0" borderId="14"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4" fillId="0" borderId="13" xfId="0" applyFont="1" applyBorder="1" applyAlignment="1">
      <alignment horizontal="center" vertical="center"/>
    </xf>
    <xf numFmtId="0" fontId="44" fillId="0" borderId="15" xfId="0" applyFont="1" applyBorder="1" applyAlignment="1">
      <alignment horizontal="center" vertical="center"/>
    </xf>
    <xf numFmtId="0" fontId="44" fillId="0" borderId="17" xfId="0" applyFont="1" applyBorder="1" applyAlignment="1">
      <alignment horizontal="center" vertical="center"/>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44" fillId="0" borderId="19" xfId="0" applyFont="1" applyBorder="1" applyAlignment="1">
      <alignment horizontal="center" vertical="center" wrapText="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14" fontId="1" fillId="0" borderId="2" xfId="0" applyNumberFormat="1" applyFont="1" applyFill="1" applyBorder="1" applyAlignment="1" applyProtection="1">
      <alignment horizontal="center" vertical="top"/>
      <protection locked="0"/>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1429">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32"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microsoft.com/office/2017/06/relationships/rdRichValueTypes" Target="richData/rdRichValueTyp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TELEISLAS%202023/contrato%202/MES%202/segundo%20segumiento%20matriz%20riesgos%20institucion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Direccionamiento Estrategico"/>
      <sheetName val="Planeacion"/>
      <sheetName val="Mercadeo y Comercialización"/>
      <sheetName val="Produccion"/>
      <sheetName val="Programacion y Emision"/>
      <sheetName val="Gestion Financiera"/>
      <sheetName val="Gestion Administrativa"/>
      <sheetName val="Gestion Juridica y Contractual"/>
      <sheetName val="con, seg y eva"/>
      <sheetName val="Matriz Calor Inherente"/>
      <sheetName val="Matriz Calor Residual"/>
      <sheetName val="Tabla probabilidad"/>
      <sheetName val="Tabla Impacto"/>
      <sheetName val="Tabla Valoración controles"/>
      <sheetName val="Medicion de eficacia"/>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4"/>
      <sheetData sheetId="15"/>
      <sheetData sheetId="16"/>
      <sheetData sheetId="17"/>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43.682391898146" createdVersion="6" refreshedVersion="8" minRefreshableVersion="3" recordCount="10" xr:uid="{00000000-000A-0000-FFFF-FFFF00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TablaDinámica1" cacheId="0"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3" dataDxfId="2">
  <autoFilter ref="B209:C219" xr:uid="{00000000-0009-0000-0100-000001000000}"/>
  <tableColumns count="2">
    <tableColumn id="1" xr3:uid="{00000000-0010-0000-0000-000001000000}" name="Criterios" dataDxfId="1"/>
    <tableColumn id="2" xr3:uid="{00000000-0010-0000-0000-000002000000}"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5"/>
  <sheetViews>
    <sheetView zoomScale="110" zoomScaleNormal="110" workbookViewId="0">
      <selection activeCell="H1" sqref="H1"/>
    </sheetView>
  </sheetViews>
  <sheetFormatPr baseColWidth="10" defaultRowHeight="15" x14ac:dyDescent="0.25"/>
  <cols>
    <col min="1" max="1" width="2.85546875" style="83" customWidth="1"/>
    <col min="2" max="3" width="24.7109375" style="83" customWidth="1"/>
    <col min="4" max="4" width="16" style="83" customWidth="1"/>
    <col min="5" max="5" width="24.7109375" style="83" customWidth="1"/>
    <col min="6" max="6" width="27.7109375" style="83" customWidth="1"/>
    <col min="7" max="8" width="24.7109375" style="83" customWidth="1"/>
    <col min="9" max="16384" width="11.42578125" style="83"/>
  </cols>
  <sheetData>
    <row r="1" spans="2:8" ht="15.75" thickBot="1" x14ac:dyDescent="0.3"/>
    <row r="2" spans="2:8" ht="18" x14ac:dyDescent="0.25">
      <c r="B2" s="169" t="s">
        <v>166</v>
      </c>
      <c r="C2" s="170"/>
      <c r="D2" s="170"/>
      <c r="E2" s="170"/>
      <c r="F2" s="170"/>
      <c r="G2" s="170"/>
      <c r="H2" s="171"/>
    </row>
    <row r="3" spans="2:8" x14ac:dyDescent="0.25">
      <c r="B3" s="84"/>
      <c r="C3" s="85"/>
      <c r="D3" s="85"/>
      <c r="E3" s="85"/>
      <c r="F3" s="85"/>
      <c r="G3" s="85"/>
      <c r="H3" s="86"/>
    </row>
    <row r="4" spans="2:8" ht="63" customHeight="1" x14ac:dyDescent="0.25">
      <c r="B4" s="172" t="s">
        <v>209</v>
      </c>
      <c r="C4" s="173"/>
      <c r="D4" s="173"/>
      <c r="E4" s="173"/>
      <c r="F4" s="173"/>
      <c r="G4" s="173"/>
      <c r="H4" s="174"/>
    </row>
    <row r="5" spans="2:8" ht="63" customHeight="1" x14ac:dyDescent="0.25">
      <c r="B5" s="175"/>
      <c r="C5" s="176"/>
      <c r="D5" s="176"/>
      <c r="E5" s="176"/>
      <c r="F5" s="176"/>
      <c r="G5" s="176"/>
      <c r="H5" s="177"/>
    </row>
    <row r="6" spans="2:8" ht="16.5" x14ac:dyDescent="0.25">
      <c r="B6" s="178" t="s">
        <v>164</v>
      </c>
      <c r="C6" s="179"/>
      <c r="D6" s="179"/>
      <c r="E6" s="179"/>
      <c r="F6" s="179"/>
      <c r="G6" s="179"/>
      <c r="H6" s="180"/>
    </row>
    <row r="7" spans="2:8" ht="95.25" customHeight="1" x14ac:dyDescent="0.25">
      <c r="B7" s="188" t="s">
        <v>169</v>
      </c>
      <c r="C7" s="189"/>
      <c r="D7" s="189"/>
      <c r="E7" s="189"/>
      <c r="F7" s="189"/>
      <c r="G7" s="189"/>
      <c r="H7" s="190"/>
    </row>
    <row r="8" spans="2:8" ht="16.5" x14ac:dyDescent="0.25">
      <c r="B8" s="120"/>
      <c r="C8" s="121"/>
      <c r="D8" s="121"/>
      <c r="E8" s="121"/>
      <c r="F8" s="121"/>
      <c r="G8" s="121"/>
      <c r="H8" s="122"/>
    </row>
    <row r="9" spans="2:8" ht="16.5" customHeight="1" x14ac:dyDescent="0.25">
      <c r="B9" s="181" t="s">
        <v>202</v>
      </c>
      <c r="C9" s="182"/>
      <c r="D9" s="182"/>
      <c r="E9" s="182"/>
      <c r="F9" s="182"/>
      <c r="G9" s="182"/>
      <c r="H9" s="183"/>
    </row>
    <row r="10" spans="2:8" ht="44.25" customHeight="1" x14ac:dyDescent="0.25">
      <c r="B10" s="181"/>
      <c r="C10" s="182"/>
      <c r="D10" s="182"/>
      <c r="E10" s="182"/>
      <c r="F10" s="182"/>
      <c r="G10" s="182"/>
      <c r="H10" s="183"/>
    </row>
    <row r="11" spans="2:8" ht="15.75" thickBot="1" x14ac:dyDescent="0.3">
      <c r="B11" s="109"/>
      <c r="C11" s="112"/>
      <c r="D11" s="117"/>
      <c r="E11" s="118"/>
      <c r="F11" s="118"/>
      <c r="G11" s="119"/>
      <c r="H11" s="113"/>
    </row>
    <row r="12" spans="2:8" ht="15.75" thickTop="1" x14ac:dyDescent="0.25">
      <c r="B12" s="109"/>
      <c r="C12" s="184" t="s">
        <v>165</v>
      </c>
      <c r="D12" s="185"/>
      <c r="E12" s="186" t="s">
        <v>203</v>
      </c>
      <c r="F12" s="187"/>
      <c r="G12" s="112"/>
      <c r="H12" s="113"/>
    </row>
    <row r="13" spans="2:8" ht="35.25" customHeight="1" x14ac:dyDescent="0.25">
      <c r="B13" s="109"/>
      <c r="C13" s="156" t="s">
        <v>196</v>
      </c>
      <c r="D13" s="157"/>
      <c r="E13" s="158" t="s">
        <v>201</v>
      </c>
      <c r="F13" s="159"/>
      <c r="G13" s="112"/>
      <c r="H13" s="113"/>
    </row>
    <row r="14" spans="2:8" ht="17.25" customHeight="1" x14ac:dyDescent="0.25">
      <c r="B14" s="109"/>
      <c r="C14" s="156" t="s">
        <v>197</v>
      </c>
      <c r="D14" s="157"/>
      <c r="E14" s="158" t="s">
        <v>199</v>
      </c>
      <c r="F14" s="159"/>
      <c r="G14" s="112"/>
      <c r="H14" s="113"/>
    </row>
    <row r="15" spans="2:8" ht="19.5" customHeight="1" x14ac:dyDescent="0.25">
      <c r="B15" s="109"/>
      <c r="C15" s="156" t="s">
        <v>198</v>
      </c>
      <c r="D15" s="157"/>
      <c r="E15" s="158" t="s">
        <v>200</v>
      </c>
      <c r="F15" s="159"/>
      <c r="G15" s="112"/>
      <c r="H15" s="113"/>
    </row>
    <row r="16" spans="2:8" ht="69.75" customHeight="1" x14ac:dyDescent="0.25">
      <c r="B16" s="109"/>
      <c r="C16" s="156" t="s">
        <v>167</v>
      </c>
      <c r="D16" s="157"/>
      <c r="E16" s="158" t="s">
        <v>168</v>
      </c>
      <c r="F16" s="159"/>
      <c r="G16" s="112"/>
      <c r="H16" s="113"/>
    </row>
    <row r="17" spans="2:8" ht="34.5" customHeight="1" x14ac:dyDescent="0.25">
      <c r="B17" s="109"/>
      <c r="C17" s="160" t="s">
        <v>2</v>
      </c>
      <c r="D17" s="161"/>
      <c r="E17" s="152" t="s">
        <v>210</v>
      </c>
      <c r="F17" s="153"/>
      <c r="G17" s="112"/>
      <c r="H17" s="113"/>
    </row>
    <row r="18" spans="2:8" ht="27.75" customHeight="1" x14ac:dyDescent="0.25">
      <c r="B18" s="109"/>
      <c r="C18" s="160" t="s">
        <v>3</v>
      </c>
      <c r="D18" s="161"/>
      <c r="E18" s="152" t="s">
        <v>211</v>
      </c>
      <c r="F18" s="153"/>
      <c r="G18" s="112"/>
      <c r="H18" s="113"/>
    </row>
    <row r="19" spans="2:8" ht="28.5" customHeight="1" x14ac:dyDescent="0.25">
      <c r="B19" s="109"/>
      <c r="C19" s="160" t="s">
        <v>42</v>
      </c>
      <c r="D19" s="161"/>
      <c r="E19" s="152" t="s">
        <v>212</v>
      </c>
      <c r="F19" s="153"/>
      <c r="G19" s="112"/>
      <c r="H19" s="113"/>
    </row>
    <row r="20" spans="2:8" ht="72.75" customHeight="1" x14ac:dyDescent="0.25">
      <c r="B20" s="109"/>
      <c r="C20" s="160" t="s">
        <v>1</v>
      </c>
      <c r="D20" s="161"/>
      <c r="E20" s="152" t="s">
        <v>213</v>
      </c>
      <c r="F20" s="153"/>
      <c r="G20" s="112"/>
      <c r="H20" s="113"/>
    </row>
    <row r="21" spans="2:8" ht="64.5" customHeight="1" x14ac:dyDescent="0.25">
      <c r="B21" s="109"/>
      <c r="C21" s="160" t="s">
        <v>50</v>
      </c>
      <c r="D21" s="161"/>
      <c r="E21" s="152" t="s">
        <v>171</v>
      </c>
      <c r="F21" s="153"/>
      <c r="G21" s="112"/>
      <c r="H21" s="113"/>
    </row>
    <row r="22" spans="2:8" ht="71.25" customHeight="1" x14ac:dyDescent="0.25">
      <c r="B22" s="109"/>
      <c r="C22" s="160" t="s">
        <v>170</v>
      </c>
      <c r="D22" s="161"/>
      <c r="E22" s="152" t="s">
        <v>172</v>
      </c>
      <c r="F22" s="153"/>
      <c r="G22" s="112"/>
      <c r="H22" s="113"/>
    </row>
    <row r="23" spans="2:8" ht="55.5" customHeight="1" x14ac:dyDescent="0.25">
      <c r="B23" s="109"/>
      <c r="C23" s="154" t="s">
        <v>173</v>
      </c>
      <c r="D23" s="155"/>
      <c r="E23" s="152" t="s">
        <v>174</v>
      </c>
      <c r="F23" s="153"/>
      <c r="G23" s="112"/>
      <c r="H23" s="113"/>
    </row>
    <row r="24" spans="2:8" ht="42" customHeight="1" x14ac:dyDescent="0.25">
      <c r="B24" s="109"/>
      <c r="C24" s="154" t="s">
        <v>48</v>
      </c>
      <c r="D24" s="155"/>
      <c r="E24" s="152" t="s">
        <v>175</v>
      </c>
      <c r="F24" s="153"/>
      <c r="G24" s="112"/>
      <c r="H24" s="113"/>
    </row>
    <row r="25" spans="2:8" ht="59.25" customHeight="1" x14ac:dyDescent="0.25">
      <c r="B25" s="109"/>
      <c r="C25" s="154" t="s">
        <v>163</v>
      </c>
      <c r="D25" s="155"/>
      <c r="E25" s="152" t="s">
        <v>176</v>
      </c>
      <c r="F25" s="153"/>
      <c r="G25" s="112"/>
      <c r="H25" s="113"/>
    </row>
    <row r="26" spans="2:8" ht="23.25" customHeight="1" x14ac:dyDescent="0.25">
      <c r="B26" s="109"/>
      <c r="C26" s="154" t="s">
        <v>12</v>
      </c>
      <c r="D26" s="155"/>
      <c r="E26" s="152" t="s">
        <v>177</v>
      </c>
      <c r="F26" s="153"/>
      <c r="G26" s="112"/>
      <c r="H26" s="113"/>
    </row>
    <row r="27" spans="2:8" ht="30.75" customHeight="1" x14ac:dyDescent="0.25">
      <c r="B27" s="109"/>
      <c r="C27" s="154" t="s">
        <v>181</v>
      </c>
      <c r="D27" s="155"/>
      <c r="E27" s="152" t="s">
        <v>178</v>
      </c>
      <c r="F27" s="153"/>
      <c r="G27" s="112"/>
      <c r="H27" s="113"/>
    </row>
    <row r="28" spans="2:8" ht="35.25" customHeight="1" x14ac:dyDescent="0.25">
      <c r="B28" s="109"/>
      <c r="C28" s="154" t="s">
        <v>182</v>
      </c>
      <c r="D28" s="155"/>
      <c r="E28" s="152" t="s">
        <v>179</v>
      </c>
      <c r="F28" s="153"/>
      <c r="G28" s="112"/>
      <c r="H28" s="113"/>
    </row>
    <row r="29" spans="2:8" ht="33" customHeight="1" x14ac:dyDescent="0.25">
      <c r="B29" s="109"/>
      <c r="C29" s="154" t="s">
        <v>182</v>
      </c>
      <c r="D29" s="155"/>
      <c r="E29" s="152" t="s">
        <v>179</v>
      </c>
      <c r="F29" s="153"/>
      <c r="G29" s="112"/>
      <c r="H29" s="113"/>
    </row>
    <row r="30" spans="2:8" ht="30" customHeight="1" x14ac:dyDescent="0.25">
      <c r="B30" s="109"/>
      <c r="C30" s="154" t="s">
        <v>183</v>
      </c>
      <c r="D30" s="155"/>
      <c r="E30" s="152" t="s">
        <v>180</v>
      </c>
      <c r="F30" s="153"/>
      <c r="G30" s="112"/>
      <c r="H30" s="113"/>
    </row>
    <row r="31" spans="2:8" ht="35.25" customHeight="1" x14ac:dyDescent="0.25">
      <c r="B31" s="109"/>
      <c r="C31" s="154" t="s">
        <v>184</v>
      </c>
      <c r="D31" s="155"/>
      <c r="E31" s="152" t="s">
        <v>185</v>
      </c>
      <c r="F31" s="153"/>
      <c r="G31" s="112"/>
      <c r="H31" s="113"/>
    </row>
    <row r="32" spans="2:8" ht="31.5" customHeight="1" x14ac:dyDescent="0.25">
      <c r="B32" s="109"/>
      <c r="C32" s="154" t="s">
        <v>186</v>
      </c>
      <c r="D32" s="155"/>
      <c r="E32" s="152" t="s">
        <v>187</v>
      </c>
      <c r="F32" s="153"/>
      <c r="G32" s="112"/>
      <c r="H32" s="113"/>
    </row>
    <row r="33" spans="2:8" ht="35.25" customHeight="1" x14ac:dyDescent="0.25">
      <c r="B33" s="109"/>
      <c r="C33" s="154" t="s">
        <v>188</v>
      </c>
      <c r="D33" s="155"/>
      <c r="E33" s="152" t="s">
        <v>189</v>
      </c>
      <c r="F33" s="153"/>
      <c r="G33" s="112"/>
      <c r="H33" s="113"/>
    </row>
    <row r="34" spans="2:8" ht="59.25" customHeight="1" x14ac:dyDescent="0.25">
      <c r="B34" s="109"/>
      <c r="C34" s="154" t="s">
        <v>190</v>
      </c>
      <c r="D34" s="155"/>
      <c r="E34" s="152" t="s">
        <v>191</v>
      </c>
      <c r="F34" s="153"/>
      <c r="G34" s="112"/>
      <c r="H34" s="113"/>
    </row>
    <row r="35" spans="2:8" ht="29.25" customHeight="1" x14ac:dyDescent="0.25">
      <c r="B35" s="109"/>
      <c r="C35" s="154" t="s">
        <v>29</v>
      </c>
      <c r="D35" s="155"/>
      <c r="E35" s="152" t="s">
        <v>192</v>
      </c>
      <c r="F35" s="153"/>
      <c r="G35" s="112"/>
      <c r="H35" s="113"/>
    </row>
    <row r="36" spans="2:8" ht="82.5" customHeight="1" x14ac:dyDescent="0.25">
      <c r="B36" s="109"/>
      <c r="C36" s="154" t="s">
        <v>194</v>
      </c>
      <c r="D36" s="155"/>
      <c r="E36" s="152" t="s">
        <v>193</v>
      </c>
      <c r="F36" s="153"/>
      <c r="G36" s="112"/>
      <c r="H36" s="113"/>
    </row>
    <row r="37" spans="2:8" ht="46.5" customHeight="1" x14ac:dyDescent="0.25">
      <c r="B37" s="109"/>
      <c r="C37" s="154" t="s">
        <v>39</v>
      </c>
      <c r="D37" s="155"/>
      <c r="E37" s="152" t="s">
        <v>195</v>
      </c>
      <c r="F37" s="153"/>
      <c r="G37" s="112"/>
      <c r="H37" s="113"/>
    </row>
    <row r="38" spans="2:8" ht="6.75" customHeight="1" thickBot="1" x14ac:dyDescent="0.3">
      <c r="B38" s="109"/>
      <c r="C38" s="165"/>
      <c r="D38" s="166"/>
      <c r="E38" s="167"/>
      <c r="F38" s="168"/>
      <c r="G38" s="112"/>
      <c r="H38" s="113"/>
    </row>
    <row r="39" spans="2:8" ht="15.75" thickTop="1" x14ac:dyDescent="0.25">
      <c r="B39" s="109"/>
      <c r="C39" s="110"/>
      <c r="D39" s="110"/>
      <c r="E39" s="111"/>
      <c r="F39" s="111"/>
      <c r="G39" s="112"/>
      <c r="H39" s="113"/>
    </row>
    <row r="40" spans="2:8" ht="21" customHeight="1" x14ac:dyDescent="0.25">
      <c r="B40" s="162" t="s">
        <v>204</v>
      </c>
      <c r="C40" s="163"/>
      <c r="D40" s="163"/>
      <c r="E40" s="163"/>
      <c r="F40" s="163"/>
      <c r="G40" s="163"/>
      <c r="H40" s="164"/>
    </row>
    <row r="41" spans="2:8" ht="20.25" customHeight="1" x14ac:dyDescent="0.25">
      <c r="B41" s="162" t="s">
        <v>205</v>
      </c>
      <c r="C41" s="163"/>
      <c r="D41" s="163"/>
      <c r="E41" s="163"/>
      <c r="F41" s="163"/>
      <c r="G41" s="163"/>
      <c r="H41" s="164"/>
    </row>
    <row r="42" spans="2:8" ht="20.25" customHeight="1" x14ac:dyDescent="0.25">
      <c r="B42" s="162" t="s">
        <v>206</v>
      </c>
      <c r="C42" s="163"/>
      <c r="D42" s="163"/>
      <c r="E42" s="163"/>
      <c r="F42" s="163"/>
      <c r="G42" s="163"/>
      <c r="H42" s="164"/>
    </row>
    <row r="43" spans="2:8" ht="20.25" customHeight="1" x14ac:dyDescent="0.25">
      <c r="B43" s="162" t="s">
        <v>207</v>
      </c>
      <c r="C43" s="163"/>
      <c r="D43" s="163"/>
      <c r="E43" s="163"/>
      <c r="F43" s="163"/>
      <c r="G43" s="163"/>
      <c r="H43" s="164"/>
    </row>
    <row r="44" spans="2:8" x14ac:dyDescent="0.25">
      <c r="B44" s="162" t="s">
        <v>208</v>
      </c>
      <c r="C44" s="163"/>
      <c r="D44" s="163"/>
      <c r="E44" s="163"/>
      <c r="F44" s="163"/>
      <c r="G44" s="163"/>
      <c r="H44" s="164"/>
    </row>
    <row r="45" spans="2:8" ht="15.75" thickBot="1" x14ac:dyDescent="0.3">
      <c r="B45" s="114"/>
      <c r="C45" s="115"/>
      <c r="D45" s="115"/>
      <c r="E45" s="115"/>
      <c r="F45" s="115"/>
      <c r="G45" s="115"/>
      <c r="H45" s="116"/>
    </row>
  </sheetData>
  <mergeCells count="64">
    <mergeCell ref="B2:H2"/>
    <mergeCell ref="B4:H5"/>
    <mergeCell ref="B6:H6"/>
    <mergeCell ref="B9:H10"/>
    <mergeCell ref="C12:D12"/>
    <mergeCell ref="E12:F12"/>
    <mergeCell ref="B7:H7"/>
    <mergeCell ref="C13:D13"/>
    <mergeCell ref="E13:F13"/>
    <mergeCell ref="C17:D17"/>
    <mergeCell ref="E17:F17"/>
    <mergeCell ref="C21:D21"/>
    <mergeCell ref="C18:D18"/>
    <mergeCell ref="C19:D19"/>
    <mergeCell ref="C20:D20"/>
    <mergeCell ref="E18:F18"/>
    <mergeCell ref="E19:F19"/>
    <mergeCell ref="E20:F20"/>
    <mergeCell ref="E21:F21"/>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33:D33"/>
    <mergeCell ref="B40:H40"/>
    <mergeCell ref="C29:D29"/>
    <mergeCell ref="E29:F29"/>
    <mergeCell ref="C30:D30"/>
    <mergeCell ref="E30:F30"/>
    <mergeCell ref="E33:F33"/>
    <mergeCell ref="C34:D34"/>
    <mergeCell ref="C35:D35"/>
    <mergeCell ref="E35:F35"/>
    <mergeCell ref="C36:D36"/>
    <mergeCell ref="E36:F36"/>
    <mergeCell ref="B41:H41"/>
    <mergeCell ref="C38:D38"/>
    <mergeCell ref="E38:F38"/>
    <mergeCell ref="C37:D37"/>
    <mergeCell ref="E37:F37"/>
    <mergeCell ref="E28:F28"/>
    <mergeCell ref="C28:D28"/>
    <mergeCell ref="C16:D16"/>
    <mergeCell ref="E16:F16"/>
    <mergeCell ref="C14:D14"/>
    <mergeCell ref="E14:F14"/>
    <mergeCell ref="C15:D15"/>
    <mergeCell ref="E15:F15"/>
    <mergeCell ref="E22:F22"/>
    <mergeCell ref="C22:D22"/>
    <mergeCell ref="C25:D25"/>
    <mergeCell ref="E25:F2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4212F-E71D-416D-A894-42872C1E6F12}">
  <sheetPr>
    <tabColor rgb="FF7030A0"/>
  </sheetPr>
  <dimension ref="A1:BP72"/>
  <sheetViews>
    <sheetView topLeftCell="O10" zoomScale="64" zoomScaleNormal="64" workbookViewId="0">
      <selection activeCell="AK12" sqref="AK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348</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347</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349</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132</v>
      </c>
      <c r="C10" s="191" t="s">
        <v>289</v>
      </c>
      <c r="D10" s="191" t="s">
        <v>290</v>
      </c>
      <c r="E10" s="215" t="s">
        <v>288</v>
      </c>
      <c r="F10" s="191" t="s">
        <v>123</v>
      </c>
      <c r="G10" s="194">
        <v>3</v>
      </c>
      <c r="H10" s="203" t="str">
        <f>IF(G10&lt;=0,"",IF(G10&lt;=2,"Muy Baja",IF(G10&lt;=24,"Baja",IF(G10&lt;=500,"Media",IF(G10&lt;=5000,"Alta","Muy Alta")))))</f>
        <v>Baja</v>
      </c>
      <c r="I10" s="206">
        <f>IF(H10="","",IF(H10="Muy Baja",0.2,IF(H10="Baja",0.4,IF(H10="Media",0.6,IF(H10="Alta",0.8,IF(H10="Muy Alta",1,))))))</f>
        <v>0.4</v>
      </c>
      <c r="J10" s="209" t="s">
        <v>155</v>
      </c>
      <c r="K10" s="206"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03"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06">
        <f ca="1">IF(L10="","",IF(L10="Leve",0.2,IF(L10="Menor",0.4,IF(L10="Moderado",0.6,IF(L10="Mayor",0.8,IF(L10="Catastrófico",1,))))))</f>
        <v>0.6</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407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291</v>
      </c>
      <c r="AF10" s="133" t="s">
        <v>256</v>
      </c>
      <c r="AG10" s="135">
        <v>45291</v>
      </c>
      <c r="AH10" s="135">
        <v>45265</v>
      </c>
      <c r="AI10" s="133" t="s">
        <v>408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2</v>
      </c>
      <c r="P11" s="124" t="s">
        <v>409</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292</v>
      </c>
      <c r="AF11" s="133" t="s">
        <v>256</v>
      </c>
      <c r="AG11" s="135">
        <v>45291</v>
      </c>
      <c r="AH11" s="135">
        <v>45265</v>
      </c>
      <c r="AI11" s="133" t="s">
        <v>410</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4"/>
      <c r="B15" s="193"/>
      <c r="C15" s="193"/>
      <c r="D15" s="193"/>
      <c r="E15" s="217"/>
      <c r="F15" s="193"/>
      <c r="G15" s="196"/>
      <c r="H15" s="205"/>
      <c r="I15" s="208"/>
      <c r="J15" s="211"/>
      <c r="K15" s="208">
        <f ca="1">IF(NOT(ISERROR(MATCH(J15,_xlfn.ANCHORARRAY(E26),0))),I28&amp;"Por favor no seleccionar los criterios de impacto",J15)</f>
        <v>0</v>
      </c>
      <c r="L15" s="205"/>
      <c r="M15" s="208"/>
      <c r="N15" s="199"/>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2">
        <v>2</v>
      </c>
      <c r="B16" s="191"/>
      <c r="C16" s="191"/>
      <c r="D16" s="250"/>
      <c r="E16" s="250"/>
      <c r="F16" s="191"/>
      <c r="G16" s="194"/>
      <c r="H16" s="203" t="str">
        <f>IF(G16&lt;=0,"",IF(G16&lt;=2,"Muy Baja",IF(G16&lt;=24,"Baja",IF(G16&lt;=500,"Media",IF(G16&lt;=5000,"Alta","Muy Alta")))))</f>
        <v/>
      </c>
      <c r="I16" s="206" t="str">
        <f>IF(H16="","",IF(H16="Muy Baja",0.2,IF(H16="Baja",0.4,IF(H16="Media",0.6,IF(H16="Alta",0.8,IF(H16="Muy Alta",1,))))))</f>
        <v/>
      </c>
      <c r="J16" s="209"/>
      <c r="K16" s="206">
        <f ca="1">IF(NOT(ISERROR(MATCH(J16,'Tabla Impacto'!$B$221:$B$223,0))),'Tabla Impacto'!$F$223&amp;"Por favor no seleccionar los criterios de impacto(Afectación Económica o presupuestal y Pérdida Reputacional)",J16)</f>
        <v>0</v>
      </c>
      <c r="L16" s="203" t="str">
        <f ca="1">IF(OR(K16='Tabla Impacto'!$C$11,K16='Tabla Impacto'!$D$11),"Leve",IF(OR(K16='Tabla Impacto'!$C$12,K16='Tabla Impacto'!$D$12),"Menor",IF(OR(K16='Tabla Impacto'!$C$13,K16='Tabla Impacto'!$D$13),"Moderado",IF(OR(K16='Tabla Impacto'!$C$14,K16='Tabla Impacto'!$D$14),"Mayor",IF(OR(K16='Tabla Impacto'!$C$15,K16='Tabla Impacto'!$D$15),"Catastrófico","")))))</f>
        <v/>
      </c>
      <c r="M16" s="206" t="str">
        <f ca="1">IF(L16="","",IF(L16="Leve",0.2,IF(L16="Menor",0.4,IF(L16="Moderado",0.6,IF(L16="Mayor",0.8,IF(L16="Catastrófico",1,))))))</f>
        <v/>
      </c>
      <c r="N16" s="19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251"/>
      <c r="E17" s="251"/>
      <c r="F17" s="192"/>
      <c r="G17" s="195"/>
      <c r="H17" s="204"/>
      <c r="I17" s="207"/>
      <c r="J17" s="210"/>
      <c r="K17" s="207">
        <f ca="1">IF(NOT(ISERROR(MATCH(J17,_xlfn.ANCHORARRAY(E28),0))),I30&amp;"Por favor no seleccionar los criterios de impacto",J17)</f>
        <v>0</v>
      </c>
      <c r="L17" s="204"/>
      <c r="M17" s="207"/>
      <c r="N17" s="198"/>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251"/>
      <c r="E18" s="251"/>
      <c r="F18" s="192"/>
      <c r="G18" s="195"/>
      <c r="H18" s="204"/>
      <c r="I18" s="207"/>
      <c r="J18" s="210"/>
      <c r="K18" s="207">
        <f ca="1">IF(NOT(ISERROR(MATCH(J18,_xlfn.ANCHORARRAY(E29),0))),I31&amp;"Por favor no seleccionar los criterios de impacto",J18)</f>
        <v>0</v>
      </c>
      <c r="L18" s="204"/>
      <c r="M18" s="207"/>
      <c r="N18" s="198"/>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250"/>
      <c r="E19" s="250"/>
      <c r="F19" s="192"/>
      <c r="G19" s="195"/>
      <c r="H19" s="204"/>
      <c r="I19" s="207"/>
      <c r="J19" s="210"/>
      <c r="K19" s="207">
        <f ca="1">IF(NOT(ISERROR(MATCH(J19,_xlfn.ANCHORARRAY(E30),0))),I32&amp;"Por favor no seleccionar los criterios de impacto",J19)</f>
        <v>0</v>
      </c>
      <c r="L19" s="204"/>
      <c r="M19" s="207"/>
      <c r="N19" s="198"/>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251"/>
      <c r="E20" s="251"/>
      <c r="F20" s="192"/>
      <c r="G20" s="195"/>
      <c r="H20" s="204"/>
      <c r="I20" s="207"/>
      <c r="J20" s="210"/>
      <c r="K20" s="207">
        <f ca="1">IF(NOT(ISERROR(MATCH(J20,_xlfn.ANCHORARRAY(E31),0))),I33&amp;"Por favor no seleccionar los criterios de impacto",J20)</f>
        <v>0</v>
      </c>
      <c r="L20" s="204"/>
      <c r="M20" s="207"/>
      <c r="N20" s="198"/>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4"/>
      <c r="B21" s="193"/>
      <c r="C21" s="193"/>
      <c r="D21" s="251"/>
      <c r="E21" s="251"/>
      <c r="F21" s="193"/>
      <c r="G21" s="196"/>
      <c r="H21" s="205"/>
      <c r="I21" s="208"/>
      <c r="J21" s="211"/>
      <c r="K21" s="208">
        <f ca="1">IF(NOT(ISERROR(MATCH(J21,_xlfn.ANCHORARRAY(E32),0))),I34&amp;"Por favor no seleccionar los criterios de impacto",J21)</f>
        <v>0</v>
      </c>
      <c r="L21" s="205"/>
      <c r="M21" s="208"/>
      <c r="N21" s="199"/>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2">
        <v>3</v>
      </c>
      <c r="B22" s="191"/>
      <c r="C22" s="191"/>
      <c r="D22" s="191"/>
      <c r="E22" s="215"/>
      <c r="F22" s="191"/>
      <c r="G22" s="194"/>
      <c r="H22" s="203" t="str">
        <f>IF(G22&lt;=0,"",IF(G22&lt;=2,"Muy Baja",IF(G22&lt;=24,"Baja",IF(G22&lt;=500,"Media",IF(G22&lt;=5000,"Alta","Muy Alta")))))</f>
        <v/>
      </c>
      <c r="I22" s="206" t="str">
        <f>IF(H22="","",IF(H22="Muy Baja",0.2,IF(H22="Baja",0.4,IF(H22="Media",0.6,IF(H22="Alta",0.8,IF(H22="Muy Alta",1,))))))</f>
        <v/>
      </c>
      <c r="J22" s="209"/>
      <c r="K22" s="206">
        <f ca="1">IF(NOT(ISERROR(MATCH(J22,'Tabla Impacto'!$B$221:$B$223,0))),'Tabla Impacto'!$F$223&amp;"Por favor no seleccionar los criterios de impacto(Afectación Económica o presupuestal y Pérdida Reputacional)",J22)</f>
        <v>0</v>
      </c>
      <c r="L22" s="203" t="str">
        <f ca="1">IF(OR(K22='Tabla Impacto'!$C$11,K22='Tabla Impacto'!$D$11),"Leve",IF(OR(K22='Tabla Impacto'!$C$12,K22='Tabla Impacto'!$D$12),"Menor",IF(OR(K22='Tabla Impacto'!$C$13,K22='Tabla Impacto'!$D$13),"Moderado",IF(OR(K22='Tabla Impacto'!$C$14,K22='Tabla Impacto'!$D$14),"Mayor",IF(OR(K22='Tabla Impacto'!$C$15,K22='Tabla Impacto'!$D$15),"Catastrófico","")))))</f>
        <v/>
      </c>
      <c r="M22" s="206" t="str">
        <f ca="1">IF(L22="","",IF(L22="Leve",0.2,IF(L22="Menor",0.4,IF(L22="Moderado",0.6,IF(L22="Mayor",0.8,IF(L22="Catastrófico",1,))))))</f>
        <v/>
      </c>
      <c r="N22" s="19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ref="K23:K27" ca="1" si="15">IF(NOT(ISERROR(MATCH(J23,_xlfn.ANCHORARRAY(E34),0))),I36&amp;"Por favor no seleccionar los criterios de impacto",J23)</f>
        <v>0</v>
      </c>
      <c r="L23" s="204"/>
      <c r="M23" s="207"/>
      <c r="N23" s="198"/>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15"/>
        <v>0</v>
      </c>
      <c r="L26" s="204"/>
      <c r="M26" s="207"/>
      <c r="N26" s="198"/>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4"/>
      <c r="B27" s="193"/>
      <c r="C27" s="193"/>
      <c r="D27" s="193"/>
      <c r="E27" s="217"/>
      <c r="F27" s="193"/>
      <c r="G27" s="196"/>
      <c r="H27" s="205"/>
      <c r="I27" s="208"/>
      <c r="J27" s="211"/>
      <c r="K27" s="208">
        <f t="shared" ca="1" si="15"/>
        <v>0</v>
      </c>
      <c r="L27" s="205"/>
      <c r="M27" s="208"/>
      <c r="N27" s="199"/>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2">
        <v>4</v>
      </c>
      <c r="B28" s="191"/>
      <c r="C28" s="191"/>
      <c r="D28" s="191"/>
      <c r="E28" s="215"/>
      <c r="F28" s="191"/>
      <c r="G28" s="194"/>
      <c r="H28" s="203" t="str">
        <f>IF(G28&lt;=0,"",IF(G28&lt;=2,"Muy Baja",IF(G28&lt;=24,"Baja",IF(G28&lt;=500,"Media",IF(G28&lt;=5000,"Alta","Muy Alta")))))</f>
        <v/>
      </c>
      <c r="I28" s="206" t="str">
        <f>IF(H28="","",IF(H28="Muy Baja",0.2,IF(H28="Baja",0.4,IF(H28="Media",0.6,IF(H28="Alta",0.8,IF(H28="Muy Alta",1,))))))</f>
        <v/>
      </c>
      <c r="J28" s="209"/>
      <c r="K28" s="206">
        <f ca="1">IF(NOT(ISERROR(MATCH(J28,'Tabla Impacto'!$B$221:$B$223,0))),'Tabla Impacto'!$F$223&amp;"Por favor no seleccionar los criterios de impacto(Afectación Económica o presupuestal y Pérdida Reputacional)",J28)</f>
        <v>0</v>
      </c>
      <c r="L28" s="203" t="str">
        <f ca="1">IF(OR(K28='Tabla Impacto'!$C$11,K28='Tabla Impacto'!$D$11),"Leve",IF(OR(K28='Tabla Impacto'!$C$12,K28='Tabla Impacto'!$D$12),"Menor",IF(OR(K28='Tabla Impacto'!$C$13,K28='Tabla Impacto'!$D$13),"Moderado",IF(OR(K28='Tabla Impacto'!$C$14,K28='Tabla Impacto'!$D$14),"Mayor",IF(OR(K28='Tabla Impacto'!$C$15,K28='Tabla Impacto'!$D$15),"Catastrófico","")))))</f>
        <v/>
      </c>
      <c r="M28" s="206" t="str">
        <f ca="1">IF(L28="","",IF(L28="Leve",0.2,IF(L28="Menor",0.4,IF(L28="Moderado",0.6,IF(L28="Mayor",0.8,IF(L28="Catastrófico",1,))))))</f>
        <v/>
      </c>
      <c r="N28" s="19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ref="K29:K33" ca="1" si="23">IF(NOT(ISERROR(MATCH(J29,_xlfn.ANCHORARRAY(E40),0))),I42&amp;"Por favor no seleccionar los criterios de impacto",J29)</f>
        <v>0</v>
      </c>
      <c r="L29" s="204"/>
      <c r="M29" s="207"/>
      <c r="N29" s="198"/>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3"/>
        <v>0</v>
      </c>
      <c r="L32" s="204"/>
      <c r="M32" s="207"/>
      <c r="N32" s="198"/>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4"/>
      <c r="B33" s="193"/>
      <c r="C33" s="193"/>
      <c r="D33" s="193"/>
      <c r="E33" s="217"/>
      <c r="F33" s="193"/>
      <c r="G33" s="196"/>
      <c r="H33" s="205"/>
      <c r="I33" s="208"/>
      <c r="J33" s="211"/>
      <c r="K33" s="208">
        <f t="shared" ca="1" si="23"/>
        <v>0</v>
      </c>
      <c r="L33" s="205"/>
      <c r="M33" s="208"/>
      <c r="N33" s="199"/>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2">
        <v>5</v>
      </c>
      <c r="B34" s="191"/>
      <c r="C34" s="191"/>
      <c r="D34" s="191"/>
      <c r="E34" s="215"/>
      <c r="F34" s="191"/>
      <c r="G34" s="194"/>
      <c r="H34" s="203" t="str">
        <f>IF(G34&lt;=0,"",IF(G34&lt;=2,"Muy Baja",IF(G34&lt;=24,"Baja",IF(G34&lt;=500,"Media",IF(G34&lt;=5000,"Alta","Muy Alta")))))</f>
        <v/>
      </c>
      <c r="I34" s="206" t="str">
        <f>IF(H34="","",IF(H34="Muy Baja",0.2,IF(H34="Baja",0.4,IF(H34="Media",0.6,IF(H34="Alta",0.8,IF(H34="Muy Alta",1,))))))</f>
        <v/>
      </c>
      <c r="J34" s="209"/>
      <c r="K34" s="206">
        <f ca="1">IF(NOT(ISERROR(MATCH(J34,'Tabla Impacto'!$B$221:$B$223,0))),'Tabla Impacto'!$F$223&amp;"Por favor no seleccionar los criterios de impacto(Afectación Económica o presupuestal y Pérdida Reputacional)",J34)</f>
        <v>0</v>
      </c>
      <c r="L34" s="203" t="str">
        <f ca="1">IF(OR(K34='Tabla Impacto'!$C$11,K34='Tabla Impacto'!$D$11),"Leve",IF(OR(K34='Tabla Impacto'!$C$12,K34='Tabla Impacto'!$D$12),"Menor",IF(OR(K34='Tabla Impacto'!$C$13,K34='Tabla Impacto'!$D$13),"Moderado",IF(OR(K34='Tabla Impacto'!$C$14,K34='Tabla Impacto'!$D$14),"Mayor",IF(OR(K34='Tabla Impacto'!$C$15,K34='Tabla Impacto'!$D$15),"Catastrófico","")))))</f>
        <v/>
      </c>
      <c r="M34" s="206" t="str">
        <f ca="1">IF(L34="","",IF(L34="Leve",0.2,IF(L34="Menor",0.4,IF(L34="Moderado",0.6,IF(L34="Mayor",0.8,IF(L34="Catastrófico",1,))))))</f>
        <v/>
      </c>
      <c r="N34" s="19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ref="K35:K39" ca="1" si="31">IF(NOT(ISERROR(MATCH(J35,_xlfn.ANCHORARRAY(E46),0))),I48&amp;"Por favor no seleccionar los criterios de impacto",J35)</f>
        <v>0</v>
      </c>
      <c r="L35" s="204"/>
      <c r="M35" s="207"/>
      <c r="N35" s="198"/>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1"/>
        <v>0</v>
      </c>
      <c r="L38" s="204"/>
      <c r="M38" s="207"/>
      <c r="N38" s="198"/>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4"/>
      <c r="B39" s="193"/>
      <c r="C39" s="193"/>
      <c r="D39" s="193"/>
      <c r="E39" s="217"/>
      <c r="F39" s="193"/>
      <c r="G39" s="196"/>
      <c r="H39" s="205"/>
      <c r="I39" s="208"/>
      <c r="J39" s="211"/>
      <c r="K39" s="208">
        <f t="shared" ca="1" si="31"/>
        <v>0</v>
      </c>
      <c r="L39" s="205"/>
      <c r="M39" s="208"/>
      <c r="N39" s="199"/>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2">
        <v>6</v>
      </c>
      <c r="B40" s="191"/>
      <c r="C40" s="191"/>
      <c r="D40" s="191"/>
      <c r="E40" s="215"/>
      <c r="F40" s="191"/>
      <c r="G40" s="194"/>
      <c r="H40" s="203" t="str">
        <f>IF(G40&lt;=0,"",IF(G40&lt;=2,"Muy Baja",IF(G40&lt;=24,"Baja",IF(G40&lt;=500,"Media",IF(G40&lt;=5000,"Alta","Muy Alta")))))</f>
        <v/>
      </c>
      <c r="I40" s="206" t="str">
        <f>IF(H40="","",IF(H40="Muy Baja",0.2,IF(H40="Baja",0.4,IF(H40="Media",0.6,IF(H40="Alta",0.8,IF(H40="Muy Alta",1,))))))</f>
        <v/>
      </c>
      <c r="J40" s="209"/>
      <c r="K40" s="206">
        <f ca="1">IF(NOT(ISERROR(MATCH(J40,'Tabla Impacto'!$B$221:$B$223,0))),'Tabla Impacto'!$F$223&amp;"Por favor no seleccionar los criterios de impacto(Afectación Económica o presupuestal y Pérdida Reputacional)",J40)</f>
        <v>0</v>
      </c>
      <c r="L40" s="203" t="str">
        <f ca="1">IF(OR(K40='Tabla Impacto'!$C$11,K40='Tabla Impacto'!$D$11),"Leve",IF(OR(K40='Tabla Impacto'!$C$12,K40='Tabla Impacto'!$D$12),"Menor",IF(OR(K40='Tabla Impacto'!$C$13,K40='Tabla Impacto'!$D$13),"Moderado",IF(OR(K40='Tabla Impacto'!$C$14,K40='Tabla Impacto'!$D$14),"Mayor",IF(OR(K40='Tabla Impacto'!$C$15,K40='Tabla Impacto'!$D$15),"Catastrófico","")))))</f>
        <v/>
      </c>
      <c r="M40" s="206" t="str">
        <f ca="1">IF(L40="","",IF(L40="Leve",0.2,IF(L40="Menor",0.4,IF(L40="Moderado",0.6,IF(L40="Mayor",0.8,IF(L40="Catastrófico",1,))))))</f>
        <v/>
      </c>
      <c r="N40" s="19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ref="K41:K45" ca="1" si="39">IF(NOT(ISERROR(MATCH(J41,_xlfn.ANCHORARRAY(E52),0))),I54&amp;"Por favor no seleccionar los criterios de impacto",J41)</f>
        <v>0</v>
      </c>
      <c r="L41" s="204"/>
      <c r="M41" s="207"/>
      <c r="N41" s="198"/>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39"/>
        <v>0</v>
      </c>
      <c r="L44" s="204"/>
      <c r="M44" s="207"/>
      <c r="N44" s="198"/>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4"/>
      <c r="B45" s="193"/>
      <c r="C45" s="193"/>
      <c r="D45" s="193"/>
      <c r="E45" s="217"/>
      <c r="F45" s="193"/>
      <c r="G45" s="196"/>
      <c r="H45" s="205"/>
      <c r="I45" s="208"/>
      <c r="J45" s="211"/>
      <c r="K45" s="208">
        <f t="shared" ca="1" si="39"/>
        <v>0</v>
      </c>
      <c r="L45" s="205"/>
      <c r="M45" s="208"/>
      <c r="N45" s="199"/>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2">
        <v>7</v>
      </c>
      <c r="B46" s="191"/>
      <c r="C46" s="191"/>
      <c r="D46" s="191"/>
      <c r="E46" s="215"/>
      <c r="F46" s="191"/>
      <c r="G46" s="194"/>
      <c r="H46" s="203" t="str">
        <f>IF(G46&lt;=0,"",IF(G46&lt;=2,"Muy Baja",IF(G46&lt;=24,"Baja",IF(G46&lt;=500,"Media",IF(G46&lt;=5000,"Alta","Muy Alta")))))</f>
        <v/>
      </c>
      <c r="I46" s="206" t="str">
        <f>IF(H46="","",IF(H46="Muy Baja",0.2,IF(H46="Baja",0.4,IF(H46="Media",0.6,IF(H46="Alta",0.8,IF(H46="Muy Alta",1,))))))</f>
        <v/>
      </c>
      <c r="J46" s="209"/>
      <c r="K46" s="206">
        <f ca="1">IF(NOT(ISERROR(MATCH(J46,'Tabla Impacto'!$B$221:$B$223,0))),'Tabla Impacto'!$F$223&amp;"Por favor no seleccionar los criterios de impacto(Afectación Económica o presupuestal y Pérdida Reputacional)",J46)</f>
        <v>0</v>
      </c>
      <c r="L46" s="203" t="str">
        <f ca="1">IF(OR(K46='Tabla Impacto'!$C$11,K46='Tabla Impacto'!$D$11),"Leve",IF(OR(K46='Tabla Impacto'!$C$12,K46='Tabla Impacto'!$D$12),"Menor",IF(OR(K46='Tabla Impacto'!$C$13,K46='Tabla Impacto'!$D$13),"Moderado",IF(OR(K46='Tabla Impacto'!$C$14,K46='Tabla Impacto'!$D$14),"Mayor",IF(OR(K46='Tabla Impacto'!$C$15,K46='Tabla Impacto'!$D$15),"Catastrófico","")))))</f>
        <v/>
      </c>
      <c r="M46" s="206" t="str">
        <f ca="1">IF(L46="","",IF(L46="Leve",0.2,IF(L46="Menor",0.4,IF(L46="Moderado",0.6,IF(L46="Mayor",0.8,IF(L46="Catastrófico",1,))))))</f>
        <v/>
      </c>
      <c r="N46" s="19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ref="K47:K51" ca="1" si="47">IF(NOT(ISERROR(MATCH(J47,_xlfn.ANCHORARRAY(E58),0))),I60&amp;"Por favor no seleccionar los criterios de impacto",J47)</f>
        <v>0</v>
      </c>
      <c r="L47" s="204"/>
      <c r="M47" s="207"/>
      <c r="N47" s="198"/>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t="shared" ca="1" si="47"/>
        <v>0</v>
      </c>
      <c r="L50" s="204"/>
      <c r="M50" s="207"/>
      <c r="N50" s="198"/>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4"/>
      <c r="B51" s="193"/>
      <c r="C51" s="193"/>
      <c r="D51" s="193"/>
      <c r="E51" s="217"/>
      <c r="F51" s="193"/>
      <c r="G51" s="196"/>
      <c r="H51" s="205"/>
      <c r="I51" s="208"/>
      <c r="J51" s="211"/>
      <c r="K51" s="208">
        <f t="shared" ca="1" si="47"/>
        <v>0</v>
      </c>
      <c r="L51" s="205"/>
      <c r="M51" s="208"/>
      <c r="N51" s="199"/>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2">
        <v>8</v>
      </c>
      <c r="B52" s="191"/>
      <c r="C52" s="191"/>
      <c r="D52" s="191"/>
      <c r="E52" s="215"/>
      <c r="F52" s="191"/>
      <c r="G52" s="194"/>
      <c r="H52" s="203" t="str">
        <f>IF(G52&lt;=0,"",IF(G52&lt;=2,"Muy Baja",IF(G52&lt;=24,"Baja",IF(G52&lt;=500,"Media",IF(G52&lt;=5000,"Alta","Muy Alta")))))</f>
        <v/>
      </c>
      <c r="I52" s="206" t="str">
        <f>IF(H52="","",IF(H52="Muy Baja",0.2,IF(H52="Baja",0.4,IF(H52="Media",0.6,IF(H52="Alta",0.8,IF(H52="Muy Alta",1,))))))</f>
        <v/>
      </c>
      <c r="J52" s="209"/>
      <c r="K52" s="206">
        <f ca="1">IF(NOT(ISERROR(MATCH(J52,'Tabla Impacto'!$B$221:$B$223,0))),'Tabla Impacto'!$F$223&amp;"Por favor no seleccionar los criterios de impacto(Afectación Económica o presupuestal y Pérdida Reputacional)",J52)</f>
        <v>0</v>
      </c>
      <c r="L52" s="203" t="str">
        <f ca="1">IF(OR(K52='Tabla Impacto'!$C$11,K52='Tabla Impacto'!$D$11),"Leve",IF(OR(K52='Tabla Impacto'!$C$12,K52='Tabla Impacto'!$D$12),"Menor",IF(OR(K52='Tabla Impacto'!$C$13,K52='Tabla Impacto'!$D$13),"Moderado",IF(OR(K52='Tabla Impacto'!$C$14,K52='Tabla Impacto'!$D$14),"Mayor",IF(OR(K52='Tabla Impacto'!$C$15,K52='Tabla Impacto'!$D$15),"Catastrófico","")))))</f>
        <v/>
      </c>
      <c r="M52" s="206" t="str">
        <f ca="1">IF(L52="","",IF(L52="Leve",0.2,IF(L52="Menor",0.4,IF(L52="Moderado",0.6,IF(L52="Mayor",0.8,IF(L52="Catastrófico",1,))))))</f>
        <v/>
      </c>
      <c r="N52" s="19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4"/>
      <c r="B57" s="193"/>
      <c r="C57" s="193"/>
      <c r="D57" s="193"/>
      <c r="E57" s="217"/>
      <c r="F57" s="193"/>
      <c r="G57" s="196"/>
      <c r="H57" s="205"/>
      <c r="I57" s="208"/>
      <c r="J57" s="211"/>
      <c r="K57" s="208">
        <f ca="1">IF(NOT(ISERROR(MATCH(J57,_xlfn.ANCHORARRAY(E68),0))),I70&amp;"Por favor no seleccionar los criterios de impacto",J57)</f>
        <v>0</v>
      </c>
      <c r="L57" s="205"/>
      <c r="M57" s="208"/>
      <c r="N57" s="199"/>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2">
        <v>9</v>
      </c>
      <c r="B58" s="191"/>
      <c r="C58" s="191"/>
      <c r="D58" s="191"/>
      <c r="E58" s="215"/>
      <c r="F58" s="191"/>
      <c r="G58" s="194"/>
      <c r="H58" s="203" t="str">
        <f>IF(G58&lt;=0,"",IF(G58&lt;=2,"Muy Baja",IF(G58&lt;=24,"Baja",IF(G58&lt;=500,"Media",IF(G58&lt;=5000,"Alta","Muy Alta")))))</f>
        <v/>
      </c>
      <c r="I58" s="206" t="str">
        <f>IF(H58="","",IF(H58="Muy Baja",0.2,IF(H58="Baja",0.4,IF(H58="Media",0.6,IF(H58="Alta",0.8,IF(H58="Muy Alta",1,))))))</f>
        <v/>
      </c>
      <c r="J58" s="209"/>
      <c r="K58" s="206">
        <f ca="1">IF(NOT(ISERROR(MATCH(J58,'Tabla Impacto'!$B$221:$B$223,0))),'Tabla Impacto'!$F$223&amp;"Por favor no seleccionar los criterios de impacto(Afectación Económica o presupuestal y Pérdida Reputacional)",J58)</f>
        <v>0</v>
      </c>
      <c r="L58" s="203" t="str">
        <f ca="1">IF(OR(K58='Tabla Impacto'!$C$11,K58='Tabla Impacto'!$D$11),"Leve",IF(OR(K58='Tabla Impacto'!$C$12,K58='Tabla Impacto'!$D$12),"Menor",IF(OR(K58='Tabla Impacto'!$C$13,K58='Tabla Impacto'!$D$13),"Moderado",IF(OR(K58='Tabla Impacto'!$C$14,K58='Tabla Impacto'!$D$14),"Mayor",IF(OR(K58='Tabla Impacto'!$C$15,K58='Tabla Impacto'!$D$15),"Catastrófico","")))))</f>
        <v/>
      </c>
      <c r="M58" s="206" t="str">
        <f ca="1">IF(L58="","",IF(L58="Leve",0.2,IF(L58="Menor",0.4,IF(L58="Moderado",0.6,IF(L58="Mayor",0.8,IF(L58="Catastrófico",1,))))))</f>
        <v/>
      </c>
      <c r="N58" s="19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4"/>
      <c r="B63" s="193"/>
      <c r="C63" s="193"/>
      <c r="D63" s="193"/>
      <c r="E63" s="217"/>
      <c r="F63" s="193"/>
      <c r="G63" s="196"/>
      <c r="H63" s="205"/>
      <c r="I63" s="208"/>
      <c r="J63" s="211"/>
      <c r="K63" s="208">
        <f ca="1">IF(NOT(ISERROR(MATCH(J63,_xlfn.ANCHORARRAY(E74),0))),I76&amp;"Por favor no seleccionar los criterios de impacto",J63)</f>
        <v>0</v>
      </c>
      <c r="L63" s="205"/>
      <c r="M63" s="208"/>
      <c r="N63" s="199"/>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2">
        <v>10</v>
      </c>
      <c r="B64" s="191"/>
      <c r="C64" s="191"/>
      <c r="D64" s="191"/>
      <c r="E64" s="215"/>
      <c r="F64" s="191"/>
      <c r="G64" s="194"/>
      <c r="H64" s="203" t="str">
        <f>IF(G64&lt;=0,"",IF(G64&lt;=2,"Muy Baja",IF(G64&lt;=24,"Baja",IF(G64&lt;=500,"Media",IF(G64&lt;=5000,"Alta","Muy Alta")))))</f>
        <v/>
      </c>
      <c r="I64" s="206" t="str">
        <f>IF(H64="","",IF(H64="Muy Baja",0.2,IF(H64="Baja",0.4,IF(H64="Media",0.6,IF(H64="Alta",0.8,IF(H64="Muy Alta",1,))))))</f>
        <v/>
      </c>
      <c r="J64" s="209"/>
      <c r="K64" s="206">
        <f ca="1">IF(NOT(ISERROR(MATCH(J64,'Tabla Impacto'!$B$221:$B$223,0))),'Tabla Impacto'!$F$223&amp;"Por favor no seleccionar los criterios de impacto(Afectación Económica o presupuestal y Pérdida Reputacional)",J64)</f>
        <v>0</v>
      </c>
      <c r="L64" s="203" t="str">
        <f ca="1">IF(OR(K64='Tabla Impacto'!$C$11,K64='Tabla Impacto'!$D$11),"Leve",IF(OR(K64='Tabla Impacto'!$C$12,K64='Tabla Impacto'!$D$12),"Menor",IF(OR(K64='Tabla Impacto'!$C$13,K64='Tabla Impacto'!$D$13),"Moderado",IF(OR(K64='Tabla Impacto'!$C$14,K64='Tabla Impacto'!$D$14),"Mayor",IF(OR(K64='Tabla Impacto'!$C$15,K64='Tabla Impacto'!$D$15),"Catastrófico","")))))</f>
        <v/>
      </c>
      <c r="M64" s="206" t="str">
        <f ca="1">IF(L64="","",IF(L64="Leve",0.2,IF(L64="Menor",0.4,IF(L64="Moderado",0.6,IF(L64="Mayor",0.8,IF(L64="Catastrófico",1,))))))</f>
        <v/>
      </c>
      <c r="N64" s="19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3"/>
      <c r="B68" s="192"/>
      <c r="C68" s="192"/>
      <c r="D68" s="192"/>
      <c r="E68" s="216"/>
      <c r="F68" s="192"/>
      <c r="G68" s="195"/>
      <c r="H68" s="204"/>
      <c r="I68" s="207"/>
      <c r="J68" s="210"/>
      <c r="K68" s="207">
        <f ca="1">IF(NOT(ISERROR(MATCH(J68,_xlfn.ANCHORARRAY(E79),0))),I81&amp;"Por favor no seleccionar los criterios de impacto",J68)</f>
        <v>0</v>
      </c>
      <c r="L68" s="204"/>
      <c r="M68" s="207"/>
      <c r="N68" s="198"/>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4"/>
      <c r="B69" s="193"/>
      <c r="C69" s="193"/>
      <c r="D69" s="193"/>
      <c r="E69" s="217"/>
      <c r="F69" s="193"/>
      <c r="G69" s="196"/>
      <c r="H69" s="205"/>
      <c r="I69" s="208"/>
      <c r="J69" s="211"/>
      <c r="K69" s="208">
        <f ca="1">IF(NOT(ISERROR(MATCH(J69,_xlfn.ANCHORARRAY(E80),0))),I82&amp;"Por favor no seleccionar los criterios de impacto",J69)</f>
        <v>0</v>
      </c>
      <c r="L69" s="205"/>
      <c r="M69" s="208"/>
      <c r="N69" s="199"/>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00" t="s">
        <v>131</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2"/>
    </row>
    <row r="72" spans="1:36" x14ac:dyDescent="0.3">
      <c r="A72" s="1"/>
      <c r="B72" s="24" t="s">
        <v>143</v>
      </c>
      <c r="C72" s="1"/>
      <c r="D72" s="1"/>
      <c r="F72" s="1"/>
    </row>
  </sheetData>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633" priority="101" operator="equal">
      <formula>"Muy Alta"</formula>
    </cfRule>
    <cfRule type="cellIs" dxfId="632" priority="102" operator="equal">
      <formula>"Alta"</formula>
    </cfRule>
    <cfRule type="cellIs" dxfId="631" priority="103" operator="equal">
      <formula>"Media"</formula>
    </cfRule>
    <cfRule type="cellIs" dxfId="630" priority="104" operator="equal">
      <formula>"Baja"</formula>
    </cfRule>
    <cfRule type="cellIs" dxfId="629" priority="105" operator="equal">
      <formula>"Muy Baja"</formula>
    </cfRule>
  </conditionalFormatting>
  <conditionalFormatting sqref="H22">
    <cfRule type="cellIs" dxfId="628" priority="83" operator="equal">
      <formula>"Muy Alta"</formula>
    </cfRule>
    <cfRule type="cellIs" dxfId="627" priority="84" operator="equal">
      <formula>"Alta"</formula>
    </cfRule>
    <cfRule type="cellIs" dxfId="626" priority="85" operator="equal">
      <formula>"Media"</formula>
    </cfRule>
    <cfRule type="cellIs" dxfId="625" priority="86" operator="equal">
      <formula>"Baja"</formula>
    </cfRule>
    <cfRule type="cellIs" dxfId="624" priority="87" operator="equal">
      <formula>"Muy Baja"</formula>
    </cfRule>
  </conditionalFormatting>
  <conditionalFormatting sqref="H28">
    <cfRule type="cellIs" dxfId="623" priority="74" operator="equal">
      <formula>"Muy Alta"</formula>
    </cfRule>
    <cfRule type="cellIs" dxfId="622" priority="75" operator="equal">
      <formula>"Alta"</formula>
    </cfRule>
    <cfRule type="cellIs" dxfId="621" priority="76" operator="equal">
      <formula>"Media"</formula>
    </cfRule>
    <cfRule type="cellIs" dxfId="620" priority="77" operator="equal">
      <formula>"Baja"</formula>
    </cfRule>
    <cfRule type="cellIs" dxfId="619" priority="78" operator="equal">
      <formula>"Muy Baja"</formula>
    </cfRule>
  </conditionalFormatting>
  <conditionalFormatting sqref="H34">
    <cfRule type="cellIs" dxfId="618" priority="65" operator="equal">
      <formula>"Muy Alta"</formula>
    </cfRule>
    <cfRule type="cellIs" dxfId="617" priority="66" operator="equal">
      <formula>"Alta"</formula>
    </cfRule>
    <cfRule type="cellIs" dxfId="616" priority="67" operator="equal">
      <formula>"Media"</formula>
    </cfRule>
    <cfRule type="cellIs" dxfId="615" priority="68" operator="equal">
      <formula>"Baja"</formula>
    </cfRule>
    <cfRule type="cellIs" dxfId="614" priority="69" operator="equal">
      <formula>"Muy Baja"</formula>
    </cfRule>
  </conditionalFormatting>
  <conditionalFormatting sqref="H40">
    <cfRule type="cellIs" dxfId="613" priority="56" operator="equal">
      <formula>"Muy Alta"</formula>
    </cfRule>
    <cfRule type="cellIs" dxfId="612" priority="57" operator="equal">
      <formula>"Alta"</formula>
    </cfRule>
    <cfRule type="cellIs" dxfId="611" priority="58" operator="equal">
      <formula>"Media"</formula>
    </cfRule>
    <cfRule type="cellIs" dxfId="610" priority="59" operator="equal">
      <formula>"Baja"</formula>
    </cfRule>
    <cfRule type="cellIs" dxfId="609" priority="60" operator="equal">
      <formula>"Muy Baja"</formula>
    </cfRule>
  </conditionalFormatting>
  <conditionalFormatting sqref="H46">
    <cfRule type="cellIs" dxfId="608" priority="47" operator="equal">
      <formula>"Muy Alta"</formula>
    </cfRule>
    <cfRule type="cellIs" dxfId="607" priority="48" operator="equal">
      <formula>"Alta"</formula>
    </cfRule>
    <cfRule type="cellIs" dxfId="606" priority="49" operator="equal">
      <formula>"Media"</formula>
    </cfRule>
    <cfRule type="cellIs" dxfId="605" priority="50" operator="equal">
      <formula>"Baja"</formula>
    </cfRule>
    <cfRule type="cellIs" dxfId="604" priority="51" operator="equal">
      <formula>"Muy Baja"</formula>
    </cfRule>
  </conditionalFormatting>
  <conditionalFormatting sqref="H52">
    <cfRule type="cellIs" dxfId="603" priority="38" operator="equal">
      <formula>"Muy Alta"</formula>
    </cfRule>
    <cfRule type="cellIs" dxfId="602" priority="39" operator="equal">
      <formula>"Alta"</formula>
    </cfRule>
    <cfRule type="cellIs" dxfId="601" priority="40" operator="equal">
      <formula>"Media"</formula>
    </cfRule>
    <cfRule type="cellIs" dxfId="600" priority="41" operator="equal">
      <formula>"Baja"</formula>
    </cfRule>
    <cfRule type="cellIs" dxfId="599" priority="42" operator="equal">
      <formula>"Muy Baja"</formula>
    </cfRule>
  </conditionalFormatting>
  <conditionalFormatting sqref="H58">
    <cfRule type="cellIs" dxfId="598" priority="29" operator="equal">
      <formula>"Muy Alta"</formula>
    </cfRule>
    <cfRule type="cellIs" dxfId="597" priority="30" operator="equal">
      <formula>"Alta"</formula>
    </cfRule>
    <cfRule type="cellIs" dxfId="596" priority="31" operator="equal">
      <formula>"Media"</formula>
    </cfRule>
    <cfRule type="cellIs" dxfId="595" priority="32" operator="equal">
      <formula>"Baja"</formula>
    </cfRule>
    <cfRule type="cellIs" dxfId="594" priority="33" operator="equal">
      <formula>"Muy Baja"</formula>
    </cfRule>
  </conditionalFormatting>
  <conditionalFormatting sqref="H64">
    <cfRule type="cellIs" dxfId="593" priority="20" operator="equal">
      <formula>"Muy Alta"</formula>
    </cfRule>
    <cfRule type="cellIs" dxfId="592" priority="21" operator="equal">
      <formula>"Alta"</formula>
    </cfRule>
    <cfRule type="cellIs" dxfId="591" priority="22" operator="equal">
      <formula>"Media"</formula>
    </cfRule>
    <cfRule type="cellIs" dxfId="590" priority="23" operator="equal">
      <formula>"Baja"</formula>
    </cfRule>
    <cfRule type="cellIs" dxfId="589" priority="24" operator="equal">
      <formula>"Muy Baja"</formula>
    </cfRule>
  </conditionalFormatting>
  <conditionalFormatting sqref="K10:K69">
    <cfRule type="containsText" dxfId="588" priority="1" operator="containsText" text="❌">
      <formula>NOT(ISERROR(SEARCH("❌",K10)))</formula>
    </cfRule>
  </conditionalFormatting>
  <conditionalFormatting sqref="L10 L16 L22 L28 L34 L40 L46 L52 L58 L64">
    <cfRule type="cellIs" dxfId="587" priority="96" operator="equal">
      <formula>"Catastrófico"</formula>
    </cfRule>
    <cfRule type="cellIs" dxfId="586" priority="97" operator="equal">
      <formula>"Mayor"</formula>
    </cfRule>
    <cfRule type="cellIs" dxfId="585" priority="98" operator="equal">
      <formula>"Moderado"</formula>
    </cfRule>
    <cfRule type="cellIs" dxfId="584" priority="99" operator="equal">
      <formula>"Menor"</formula>
    </cfRule>
    <cfRule type="cellIs" dxfId="583" priority="100" operator="equal">
      <formula>"Leve"</formula>
    </cfRule>
  </conditionalFormatting>
  <conditionalFormatting sqref="N10">
    <cfRule type="cellIs" dxfId="582" priority="92" operator="equal">
      <formula>"Extremo"</formula>
    </cfRule>
    <cfRule type="cellIs" dxfId="581" priority="93" operator="equal">
      <formula>"Alto"</formula>
    </cfRule>
    <cfRule type="cellIs" dxfId="580" priority="94" operator="equal">
      <formula>"Moderado"</formula>
    </cfRule>
    <cfRule type="cellIs" dxfId="579" priority="95" operator="equal">
      <formula>"Bajo"</formula>
    </cfRule>
  </conditionalFormatting>
  <conditionalFormatting sqref="N16">
    <cfRule type="cellIs" dxfId="578" priority="88" operator="equal">
      <formula>"Extremo"</formula>
    </cfRule>
    <cfRule type="cellIs" dxfId="577" priority="89" operator="equal">
      <formula>"Alto"</formula>
    </cfRule>
    <cfRule type="cellIs" dxfId="576" priority="90" operator="equal">
      <formula>"Moderado"</formula>
    </cfRule>
    <cfRule type="cellIs" dxfId="575" priority="91" operator="equal">
      <formula>"Bajo"</formula>
    </cfRule>
  </conditionalFormatting>
  <conditionalFormatting sqref="N22">
    <cfRule type="cellIs" dxfId="574" priority="79" operator="equal">
      <formula>"Extremo"</formula>
    </cfRule>
    <cfRule type="cellIs" dxfId="573" priority="80" operator="equal">
      <formula>"Alto"</formula>
    </cfRule>
    <cfRule type="cellIs" dxfId="572" priority="81" operator="equal">
      <formula>"Moderado"</formula>
    </cfRule>
    <cfRule type="cellIs" dxfId="571" priority="82" operator="equal">
      <formula>"Bajo"</formula>
    </cfRule>
  </conditionalFormatting>
  <conditionalFormatting sqref="N28">
    <cfRule type="cellIs" dxfId="570" priority="70" operator="equal">
      <formula>"Extremo"</formula>
    </cfRule>
    <cfRule type="cellIs" dxfId="569" priority="71" operator="equal">
      <formula>"Alto"</formula>
    </cfRule>
    <cfRule type="cellIs" dxfId="568" priority="72" operator="equal">
      <formula>"Moderado"</formula>
    </cfRule>
    <cfRule type="cellIs" dxfId="567" priority="73" operator="equal">
      <formula>"Bajo"</formula>
    </cfRule>
  </conditionalFormatting>
  <conditionalFormatting sqref="N34">
    <cfRule type="cellIs" dxfId="566" priority="61" operator="equal">
      <formula>"Extremo"</formula>
    </cfRule>
    <cfRule type="cellIs" dxfId="565" priority="62" operator="equal">
      <formula>"Alto"</formula>
    </cfRule>
    <cfRule type="cellIs" dxfId="564" priority="63" operator="equal">
      <formula>"Moderado"</formula>
    </cfRule>
    <cfRule type="cellIs" dxfId="563" priority="64" operator="equal">
      <formula>"Bajo"</formula>
    </cfRule>
  </conditionalFormatting>
  <conditionalFormatting sqref="N40">
    <cfRule type="cellIs" dxfId="562" priority="52" operator="equal">
      <formula>"Extremo"</formula>
    </cfRule>
    <cfRule type="cellIs" dxfId="561" priority="53" operator="equal">
      <formula>"Alto"</formula>
    </cfRule>
    <cfRule type="cellIs" dxfId="560" priority="54" operator="equal">
      <formula>"Moderado"</formula>
    </cfRule>
    <cfRule type="cellIs" dxfId="559" priority="55" operator="equal">
      <formula>"Bajo"</formula>
    </cfRule>
  </conditionalFormatting>
  <conditionalFormatting sqref="N46">
    <cfRule type="cellIs" dxfId="558" priority="43" operator="equal">
      <formula>"Extremo"</formula>
    </cfRule>
    <cfRule type="cellIs" dxfId="557" priority="44" operator="equal">
      <formula>"Alto"</formula>
    </cfRule>
    <cfRule type="cellIs" dxfId="556" priority="45" operator="equal">
      <formula>"Moderado"</formula>
    </cfRule>
    <cfRule type="cellIs" dxfId="555" priority="46" operator="equal">
      <formula>"Bajo"</formula>
    </cfRule>
  </conditionalFormatting>
  <conditionalFormatting sqref="N52">
    <cfRule type="cellIs" dxfId="554" priority="34" operator="equal">
      <formula>"Extremo"</formula>
    </cfRule>
    <cfRule type="cellIs" dxfId="553" priority="35" operator="equal">
      <formula>"Alto"</formula>
    </cfRule>
    <cfRule type="cellIs" dxfId="552" priority="36" operator="equal">
      <formula>"Moderado"</formula>
    </cfRule>
    <cfRule type="cellIs" dxfId="551" priority="37" operator="equal">
      <formula>"Bajo"</formula>
    </cfRule>
  </conditionalFormatting>
  <conditionalFormatting sqref="N58">
    <cfRule type="cellIs" dxfId="550" priority="25" operator="equal">
      <formula>"Extremo"</formula>
    </cfRule>
    <cfRule type="cellIs" dxfId="549" priority="26" operator="equal">
      <formula>"Alto"</formula>
    </cfRule>
    <cfRule type="cellIs" dxfId="548" priority="27" operator="equal">
      <formula>"Moderado"</formula>
    </cfRule>
    <cfRule type="cellIs" dxfId="547" priority="28" operator="equal">
      <formula>"Bajo"</formula>
    </cfRule>
  </conditionalFormatting>
  <conditionalFormatting sqref="N64">
    <cfRule type="cellIs" dxfId="546" priority="16" operator="equal">
      <formula>"Extremo"</formula>
    </cfRule>
    <cfRule type="cellIs" dxfId="545" priority="17" operator="equal">
      <formula>"Alto"</formula>
    </cfRule>
    <cfRule type="cellIs" dxfId="544" priority="18" operator="equal">
      <formula>"Moderado"</formula>
    </cfRule>
    <cfRule type="cellIs" dxfId="543" priority="19" operator="equal">
      <formula>"Bajo"</formula>
    </cfRule>
  </conditionalFormatting>
  <conditionalFormatting sqref="Y10:Y69">
    <cfRule type="cellIs" dxfId="542" priority="11" operator="equal">
      <formula>"Muy Alta"</formula>
    </cfRule>
    <cfRule type="cellIs" dxfId="541" priority="12" operator="equal">
      <formula>"Alta"</formula>
    </cfRule>
    <cfRule type="cellIs" dxfId="540" priority="13" operator="equal">
      <formula>"Media"</formula>
    </cfRule>
    <cfRule type="cellIs" dxfId="539" priority="14" operator="equal">
      <formula>"Baja"</formula>
    </cfRule>
    <cfRule type="cellIs" dxfId="538" priority="15" operator="equal">
      <formula>"Muy Baja"</formula>
    </cfRule>
  </conditionalFormatting>
  <conditionalFormatting sqref="AA10:AA69">
    <cfRule type="cellIs" dxfId="537" priority="6" operator="equal">
      <formula>"Catastrófico"</formula>
    </cfRule>
    <cfRule type="cellIs" dxfId="536" priority="7" operator="equal">
      <formula>"Mayor"</formula>
    </cfRule>
    <cfRule type="cellIs" dxfId="535" priority="8" operator="equal">
      <formula>"Moderado"</formula>
    </cfRule>
    <cfRule type="cellIs" dxfId="534" priority="9" operator="equal">
      <formula>"Menor"</formula>
    </cfRule>
    <cfRule type="cellIs" dxfId="533" priority="10" operator="equal">
      <formula>"Leve"</formula>
    </cfRule>
  </conditionalFormatting>
  <conditionalFormatting sqref="AC10:AC69">
    <cfRule type="cellIs" dxfId="532" priority="2" operator="equal">
      <formula>"Extremo"</formula>
    </cfRule>
    <cfRule type="cellIs" dxfId="531" priority="3" operator="equal">
      <formula>"Alto"</formula>
    </cfRule>
    <cfRule type="cellIs" dxfId="530" priority="4" operator="equal">
      <formula>"Moderado"</formula>
    </cfRule>
    <cfRule type="cellIs" dxfId="529"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7DBB3DBE-FFD7-405A-9217-579365417F4B}">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18BF853E-F99A-4895-A422-2A3A6F1DCE4D}">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CBC86C3-C713-4040-8D32-F5650F89CA0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CC2BB528-DB1D-43CA-894A-8E855F5B3EC3}">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8B6AE190-EB29-44DE-8D63-4ED5002195FA}">
          <x14:formula1>
            <xm:f>IF(OR(AD10='Opciones Tratamiento'!$B$2,AD10='Opciones Tratamiento'!$B$3,AD10='Opciones Tratamiento'!$B$4),ISBLANK(AD10),ISTEXT(AD10))</xm:f>
          </x14:formula1>
          <xm:sqref>AE10:AE69</xm:sqref>
        </x14:dataValidation>
        <x14:dataValidation type="list" allowBlank="1" showInputMessage="1" showErrorMessage="1" xr:uid="{D45FA2E8-9A06-4708-87CB-472E522A297C}">
          <x14:formula1>
            <xm:f>'Tabla Impacto'!$F$210:$F$221</xm:f>
          </x14:formula1>
          <xm:sqref>J10:J69</xm:sqref>
        </x14:dataValidation>
        <x14:dataValidation type="list" allowBlank="1" showInputMessage="1" showErrorMessage="1" xr:uid="{B0245CA9-87CD-49E3-90C4-646E4E4946F4}">
          <x14:formula1>
            <xm:f>'Opciones Tratamiento'!$B$2:$B$5</xm:f>
          </x14:formula1>
          <xm:sqref>AD10:AD69</xm:sqref>
        </x14:dataValidation>
        <x14:dataValidation type="list" allowBlank="1" showInputMessage="1" showErrorMessage="1" xr:uid="{7D3A3994-9115-46EA-92D2-B503CB4C9501}">
          <x14:formula1>
            <xm:f>'Opciones Tratamiento'!$E$2:$E$4</xm:f>
          </x14:formula1>
          <xm:sqref>B10:B69</xm:sqref>
        </x14:dataValidation>
        <x14:dataValidation type="list" allowBlank="1" showInputMessage="1" showErrorMessage="1" xr:uid="{10527907-7926-46D9-A5CF-93B568759EEB}">
          <x14:formula1>
            <xm:f>'Opciones Tratamiento'!$B$13:$B$19</xm:f>
          </x14:formula1>
          <xm:sqref>F10:F69</xm:sqref>
        </x14:dataValidation>
        <x14:dataValidation type="list" allowBlank="1" showInputMessage="1" showErrorMessage="1" xr:uid="{1A3F652C-741B-4B85-9BDB-227441B9C2B4}">
          <x14:formula1>
            <xm:f>'Tabla Valoración controles'!$D$13:$D$14</xm:f>
          </x14:formula1>
          <xm:sqref>W10:W69</xm:sqref>
        </x14:dataValidation>
        <x14:dataValidation type="list" allowBlank="1" showInputMessage="1" showErrorMessage="1" xr:uid="{7C31C3DD-32A5-49DF-9390-B20C6C4FAC3D}">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1304FF54-8EE9-4099-8D30-89FB51B79AB2}">
          <x14:formula1>
            <xm:f>'Tabla Valoración controles'!$D$11:$D$12</xm:f>
          </x14:formula1>
          <xm:sqref>V10:V69</xm:sqref>
        </x14:dataValidation>
        <x14:dataValidation type="list" allowBlank="1" showInputMessage="1" showErrorMessage="1" xr:uid="{8812CE2B-1634-4EB8-A6DD-ECDE86380F13}">
          <x14:formula1>
            <xm:f>'Tabla Valoración controles'!$D$9:$D$10</xm:f>
          </x14:formula1>
          <xm:sqref>U10:U69</xm:sqref>
        </x14:dataValidation>
        <x14:dataValidation type="list" allowBlank="1" showInputMessage="1" showErrorMessage="1" xr:uid="{1939ABF3-C961-4148-8F92-43F9BB24902F}">
          <x14:formula1>
            <xm:f>'Tabla Valoración controles'!$D$7:$D$8</xm:f>
          </x14:formula1>
          <xm:sqref>S10:S69</xm:sqref>
        </x14:dataValidation>
        <x14:dataValidation type="list" allowBlank="1" showInputMessage="1" showErrorMessage="1" xr:uid="{752F939A-828D-412C-A020-14FD798232EE}">
          <x14:formula1>
            <xm:f>'Tabla Valoración controles'!$D$4:$D$6</xm:f>
          </x14:formula1>
          <xm:sqref>R10:R69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A8B1-E27D-4458-8B62-0993A65D3645}">
  <sheetPr>
    <tabColor rgb="FF7030A0"/>
  </sheetPr>
  <dimension ref="A1:BP72"/>
  <sheetViews>
    <sheetView topLeftCell="T7" zoomScale="77" zoomScaleNormal="77" workbookViewId="0">
      <selection activeCell="AI10" sqref="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351</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350</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352</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86" customHeight="1" x14ac:dyDescent="0.25">
      <c r="A10" s="212">
        <v>1</v>
      </c>
      <c r="B10" s="191" t="s">
        <v>132</v>
      </c>
      <c r="C10" s="191" t="s">
        <v>294</v>
      </c>
      <c r="D10" s="191" t="s">
        <v>295</v>
      </c>
      <c r="E10" s="215" t="s">
        <v>293</v>
      </c>
      <c r="F10" s="191" t="s">
        <v>123</v>
      </c>
      <c r="G10" s="194">
        <v>18</v>
      </c>
      <c r="H10" s="203" t="str">
        <f>IF(G10&lt;=0,"",IF(G10&lt;=2,"Muy Baja",IF(G10&lt;=24,"Baja",IF(G10&lt;=500,"Media",IF(G10&lt;=5000,"Alta","Muy Alta")))))</f>
        <v>Baja</v>
      </c>
      <c r="I10" s="206">
        <f>IF(H10="","",IF(H10="Muy Baja",0.2,IF(H10="Baja",0.4,IF(H10="Media",0.6,IF(H10="Alta",0.8,IF(H10="Muy Alta",1,))))))</f>
        <v>0.4</v>
      </c>
      <c r="J10" s="209" t="s">
        <v>156</v>
      </c>
      <c r="K10" s="206"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03" t="str">
        <f ca="1">IF(OR(K10='Tabla Impacto'!$C$11,K10='Tabla Impacto'!$D$11),"Leve",IF(OR(K10='Tabla Impacto'!$C$12,K10='Tabla Impacto'!$D$12),"Menor",IF(OR(K10='Tabla Impacto'!$C$13,K10='Tabla Impacto'!$D$13),"Moderado",IF(OR(K10='Tabla Impacto'!$C$14,K10='Tabla Impacto'!$D$14),"Mayor",IF(OR(K10='Tabla Impacto'!$C$15,K10='Tabla Impacto'!$D$15),"Catastrófico","")))))</f>
        <v>Mayor</v>
      </c>
      <c r="M10" s="206">
        <f ca="1">IF(L10="","",IF(L10="Leve",0.2,IF(L10="Menor",0.4,IF(L10="Moderado",0.6,IF(L10="Mayor",0.8,IF(L10="Catastrófico",1,))))))</f>
        <v>0.8</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296</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297</v>
      </c>
      <c r="AF10" s="133" t="s">
        <v>298</v>
      </c>
      <c r="AG10" s="135">
        <v>45291</v>
      </c>
      <c r="AH10" s="135">
        <v>45272</v>
      </c>
      <c r="AI10" s="138" t="s">
        <v>381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4"/>
      <c r="B15" s="193"/>
      <c r="C15" s="193"/>
      <c r="D15" s="193"/>
      <c r="E15" s="217"/>
      <c r="F15" s="193"/>
      <c r="G15" s="196"/>
      <c r="H15" s="205"/>
      <c r="I15" s="208"/>
      <c r="J15" s="211"/>
      <c r="K15" s="208">
        <f ca="1">IF(NOT(ISERROR(MATCH(J15,_xlfn.ANCHORARRAY(E26),0))),I28&amp;"Por favor no seleccionar los criterios de impacto",J15)</f>
        <v>0</v>
      </c>
      <c r="L15" s="205"/>
      <c r="M15" s="208"/>
      <c r="N15" s="199"/>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2">
        <v>2</v>
      </c>
      <c r="B16" s="191"/>
      <c r="C16" s="191"/>
      <c r="D16" s="250"/>
      <c r="E16" s="250"/>
      <c r="F16" s="191"/>
      <c r="G16" s="194"/>
      <c r="H16" s="203" t="str">
        <f>IF(G16&lt;=0,"",IF(G16&lt;=2,"Muy Baja",IF(G16&lt;=24,"Baja",IF(G16&lt;=500,"Media",IF(G16&lt;=5000,"Alta","Muy Alta")))))</f>
        <v/>
      </c>
      <c r="I16" s="206" t="str">
        <f>IF(H16="","",IF(H16="Muy Baja",0.2,IF(H16="Baja",0.4,IF(H16="Media",0.6,IF(H16="Alta",0.8,IF(H16="Muy Alta",1,))))))</f>
        <v/>
      </c>
      <c r="J16" s="209"/>
      <c r="K16" s="206">
        <f ca="1">IF(NOT(ISERROR(MATCH(J16,'Tabla Impacto'!$B$221:$B$223,0))),'Tabla Impacto'!$F$223&amp;"Por favor no seleccionar los criterios de impacto(Afectación Económica o presupuestal y Pérdida Reputacional)",J16)</f>
        <v>0</v>
      </c>
      <c r="L16" s="203" t="str">
        <f ca="1">IF(OR(K16='Tabla Impacto'!$C$11,K16='Tabla Impacto'!$D$11),"Leve",IF(OR(K16='Tabla Impacto'!$C$12,K16='Tabla Impacto'!$D$12),"Menor",IF(OR(K16='Tabla Impacto'!$C$13,K16='Tabla Impacto'!$D$13),"Moderado",IF(OR(K16='Tabla Impacto'!$C$14,K16='Tabla Impacto'!$D$14),"Mayor",IF(OR(K16='Tabla Impacto'!$C$15,K16='Tabla Impacto'!$D$15),"Catastrófico","")))))</f>
        <v/>
      </c>
      <c r="M16" s="206" t="str">
        <f ca="1">IF(L16="","",IF(L16="Leve",0.2,IF(L16="Menor",0.4,IF(L16="Moderado",0.6,IF(L16="Mayor",0.8,IF(L16="Catastrófico",1,))))))</f>
        <v/>
      </c>
      <c r="N16" s="19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251"/>
      <c r="E17" s="251"/>
      <c r="F17" s="192"/>
      <c r="G17" s="195"/>
      <c r="H17" s="204"/>
      <c r="I17" s="207"/>
      <c r="J17" s="210"/>
      <c r="K17" s="207">
        <f ca="1">IF(NOT(ISERROR(MATCH(J17,_xlfn.ANCHORARRAY(E28),0))),I30&amp;"Por favor no seleccionar los criterios de impacto",J17)</f>
        <v>0</v>
      </c>
      <c r="L17" s="204"/>
      <c r="M17" s="207"/>
      <c r="N17" s="198"/>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251"/>
      <c r="E18" s="251"/>
      <c r="F18" s="192"/>
      <c r="G18" s="195"/>
      <c r="H18" s="204"/>
      <c r="I18" s="207"/>
      <c r="J18" s="210"/>
      <c r="K18" s="207">
        <f ca="1">IF(NOT(ISERROR(MATCH(J18,_xlfn.ANCHORARRAY(E29),0))),I31&amp;"Por favor no seleccionar los criterios de impacto",J18)</f>
        <v>0</v>
      </c>
      <c r="L18" s="204"/>
      <c r="M18" s="207"/>
      <c r="N18" s="198"/>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250"/>
      <c r="E19" s="250"/>
      <c r="F19" s="192"/>
      <c r="G19" s="195"/>
      <c r="H19" s="204"/>
      <c r="I19" s="207"/>
      <c r="J19" s="210"/>
      <c r="K19" s="207">
        <f ca="1">IF(NOT(ISERROR(MATCH(J19,_xlfn.ANCHORARRAY(E30),0))),I32&amp;"Por favor no seleccionar los criterios de impacto",J19)</f>
        <v>0</v>
      </c>
      <c r="L19" s="204"/>
      <c r="M19" s="207"/>
      <c r="N19" s="198"/>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251"/>
      <c r="E20" s="251"/>
      <c r="F20" s="192"/>
      <c r="G20" s="195"/>
      <c r="H20" s="204"/>
      <c r="I20" s="207"/>
      <c r="J20" s="210"/>
      <c r="K20" s="207">
        <f ca="1">IF(NOT(ISERROR(MATCH(J20,_xlfn.ANCHORARRAY(E31),0))),I33&amp;"Por favor no seleccionar los criterios de impacto",J20)</f>
        <v>0</v>
      </c>
      <c r="L20" s="204"/>
      <c r="M20" s="207"/>
      <c r="N20" s="198"/>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4"/>
      <c r="B21" s="193"/>
      <c r="C21" s="193"/>
      <c r="D21" s="251"/>
      <c r="E21" s="251"/>
      <c r="F21" s="193"/>
      <c r="G21" s="196"/>
      <c r="H21" s="205"/>
      <c r="I21" s="208"/>
      <c r="J21" s="211"/>
      <c r="K21" s="208">
        <f ca="1">IF(NOT(ISERROR(MATCH(J21,_xlfn.ANCHORARRAY(E32),0))),I34&amp;"Por favor no seleccionar los criterios de impacto",J21)</f>
        <v>0</v>
      </c>
      <c r="L21" s="205"/>
      <c r="M21" s="208"/>
      <c r="N21" s="199"/>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2">
        <v>3</v>
      </c>
      <c r="B22" s="191"/>
      <c r="C22" s="191"/>
      <c r="D22" s="191"/>
      <c r="E22" s="215"/>
      <c r="F22" s="191"/>
      <c r="G22" s="194"/>
      <c r="H22" s="203" t="str">
        <f>IF(G22&lt;=0,"",IF(G22&lt;=2,"Muy Baja",IF(G22&lt;=24,"Baja",IF(G22&lt;=500,"Media",IF(G22&lt;=5000,"Alta","Muy Alta")))))</f>
        <v/>
      </c>
      <c r="I22" s="206" t="str">
        <f>IF(H22="","",IF(H22="Muy Baja",0.2,IF(H22="Baja",0.4,IF(H22="Media",0.6,IF(H22="Alta",0.8,IF(H22="Muy Alta",1,))))))</f>
        <v/>
      </c>
      <c r="J22" s="209"/>
      <c r="K22" s="206">
        <f ca="1">IF(NOT(ISERROR(MATCH(J22,'Tabla Impacto'!$B$221:$B$223,0))),'Tabla Impacto'!$F$223&amp;"Por favor no seleccionar los criterios de impacto(Afectación Económica o presupuestal y Pérdida Reputacional)",J22)</f>
        <v>0</v>
      </c>
      <c r="L22" s="203" t="str">
        <f ca="1">IF(OR(K22='Tabla Impacto'!$C$11,K22='Tabla Impacto'!$D$11),"Leve",IF(OR(K22='Tabla Impacto'!$C$12,K22='Tabla Impacto'!$D$12),"Menor",IF(OR(K22='Tabla Impacto'!$C$13,K22='Tabla Impacto'!$D$13),"Moderado",IF(OR(K22='Tabla Impacto'!$C$14,K22='Tabla Impacto'!$D$14),"Mayor",IF(OR(K22='Tabla Impacto'!$C$15,K22='Tabla Impacto'!$D$15),"Catastrófico","")))))</f>
        <v/>
      </c>
      <c r="M22" s="206" t="str">
        <f ca="1">IF(L22="","",IF(L22="Leve",0.2,IF(L22="Menor",0.4,IF(L22="Moderado",0.6,IF(L22="Mayor",0.8,IF(L22="Catastrófico",1,))))))</f>
        <v/>
      </c>
      <c r="N22" s="19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ref="K23:K27" ca="1" si="15">IF(NOT(ISERROR(MATCH(J23,_xlfn.ANCHORARRAY(E34),0))),I36&amp;"Por favor no seleccionar los criterios de impacto",J23)</f>
        <v>0</v>
      </c>
      <c r="L23" s="204"/>
      <c r="M23" s="207"/>
      <c r="N23" s="198"/>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15"/>
        <v>0</v>
      </c>
      <c r="L26" s="204"/>
      <c r="M26" s="207"/>
      <c r="N26" s="198"/>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4"/>
      <c r="B27" s="193"/>
      <c r="C27" s="193"/>
      <c r="D27" s="193"/>
      <c r="E27" s="217"/>
      <c r="F27" s="193"/>
      <c r="G27" s="196"/>
      <c r="H27" s="205"/>
      <c r="I27" s="208"/>
      <c r="J27" s="211"/>
      <c r="K27" s="208">
        <f t="shared" ca="1" si="15"/>
        <v>0</v>
      </c>
      <c r="L27" s="205"/>
      <c r="M27" s="208"/>
      <c r="N27" s="199"/>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2">
        <v>4</v>
      </c>
      <c r="B28" s="191"/>
      <c r="C28" s="191"/>
      <c r="D28" s="191"/>
      <c r="E28" s="215"/>
      <c r="F28" s="191"/>
      <c r="G28" s="194"/>
      <c r="H28" s="203" t="str">
        <f>IF(G28&lt;=0,"",IF(G28&lt;=2,"Muy Baja",IF(G28&lt;=24,"Baja",IF(G28&lt;=500,"Media",IF(G28&lt;=5000,"Alta","Muy Alta")))))</f>
        <v/>
      </c>
      <c r="I28" s="206" t="str">
        <f>IF(H28="","",IF(H28="Muy Baja",0.2,IF(H28="Baja",0.4,IF(H28="Media",0.6,IF(H28="Alta",0.8,IF(H28="Muy Alta",1,))))))</f>
        <v/>
      </c>
      <c r="J28" s="209"/>
      <c r="K28" s="206">
        <f ca="1">IF(NOT(ISERROR(MATCH(J28,'Tabla Impacto'!$B$221:$B$223,0))),'Tabla Impacto'!$F$223&amp;"Por favor no seleccionar los criterios de impacto(Afectación Económica o presupuestal y Pérdida Reputacional)",J28)</f>
        <v>0</v>
      </c>
      <c r="L28" s="203" t="str">
        <f ca="1">IF(OR(K28='Tabla Impacto'!$C$11,K28='Tabla Impacto'!$D$11),"Leve",IF(OR(K28='Tabla Impacto'!$C$12,K28='Tabla Impacto'!$D$12),"Menor",IF(OR(K28='Tabla Impacto'!$C$13,K28='Tabla Impacto'!$D$13),"Moderado",IF(OR(K28='Tabla Impacto'!$C$14,K28='Tabla Impacto'!$D$14),"Mayor",IF(OR(K28='Tabla Impacto'!$C$15,K28='Tabla Impacto'!$D$15),"Catastrófico","")))))</f>
        <v/>
      </c>
      <c r="M28" s="206" t="str">
        <f ca="1">IF(L28="","",IF(L28="Leve",0.2,IF(L28="Menor",0.4,IF(L28="Moderado",0.6,IF(L28="Mayor",0.8,IF(L28="Catastrófico",1,))))))</f>
        <v/>
      </c>
      <c r="N28" s="19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ref="K29:K33" ca="1" si="23">IF(NOT(ISERROR(MATCH(J29,_xlfn.ANCHORARRAY(E40),0))),I42&amp;"Por favor no seleccionar los criterios de impacto",J29)</f>
        <v>0</v>
      </c>
      <c r="L29" s="204"/>
      <c r="M29" s="207"/>
      <c r="N29" s="198"/>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3"/>
        <v>0</v>
      </c>
      <c r="L32" s="204"/>
      <c r="M32" s="207"/>
      <c r="N32" s="198"/>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4"/>
      <c r="B33" s="193"/>
      <c r="C33" s="193"/>
      <c r="D33" s="193"/>
      <c r="E33" s="217"/>
      <c r="F33" s="193"/>
      <c r="G33" s="196"/>
      <c r="H33" s="205"/>
      <c r="I33" s="208"/>
      <c r="J33" s="211"/>
      <c r="K33" s="208">
        <f t="shared" ca="1" si="23"/>
        <v>0</v>
      </c>
      <c r="L33" s="205"/>
      <c r="M33" s="208"/>
      <c r="N33" s="199"/>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2">
        <v>5</v>
      </c>
      <c r="B34" s="191"/>
      <c r="C34" s="191"/>
      <c r="D34" s="191"/>
      <c r="E34" s="215"/>
      <c r="F34" s="191"/>
      <c r="G34" s="194"/>
      <c r="H34" s="203" t="str">
        <f>IF(G34&lt;=0,"",IF(G34&lt;=2,"Muy Baja",IF(G34&lt;=24,"Baja",IF(G34&lt;=500,"Media",IF(G34&lt;=5000,"Alta","Muy Alta")))))</f>
        <v/>
      </c>
      <c r="I34" s="206" t="str">
        <f>IF(H34="","",IF(H34="Muy Baja",0.2,IF(H34="Baja",0.4,IF(H34="Media",0.6,IF(H34="Alta",0.8,IF(H34="Muy Alta",1,))))))</f>
        <v/>
      </c>
      <c r="J34" s="209"/>
      <c r="K34" s="206">
        <f ca="1">IF(NOT(ISERROR(MATCH(J34,'Tabla Impacto'!$B$221:$B$223,0))),'Tabla Impacto'!$F$223&amp;"Por favor no seleccionar los criterios de impacto(Afectación Económica o presupuestal y Pérdida Reputacional)",J34)</f>
        <v>0</v>
      </c>
      <c r="L34" s="203" t="str">
        <f ca="1">IF(OR(K34='Tabla Impacto'!$C$11,K34='Tabla Impacto'!$D$11),"Leve",IF(OR(K34='Tabla Impacto'!$C$12,K34='Tabla Impacto'!$D$12),"Menor",IF(OR(K34='Tabla Impacto'!$C$13,K34='Tabla Impacto'!$D$13),"Moderado",IF(OR(K34='Tabla Impacto'!$C$14,K34='Tabla Impacto'!$D$14),"Mayor",IF(OR(K34='Tabla Impacto'!$C$15,K34='Tabla Impacto'!$D$15),"Catastrófico","")))))</f>
        <v/>
      </c>
      <c r="M34" s="206" t="str">
        <f ca="1">IF(L34="","",IF(L34="Leve",0.2,IF(L34="Menor",0.4,IF(L34="Moderado",0.6,IF(L34="Mayor",0.8,IF(L34="Catastrófico",1,))))))</f>
        <v/>
      </c>
      <c r="N34" s="19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ref="K35:K39" ca="1" si="31">IF(NOT(ISERROR(MATCH(J35,_xlfn.ANCHORARRAY(E46),0))),I48&amp;"Por favor no seleccionar los criterios de impacto",J35)</f>
        <v>0</v>
      </c>
      <c r="L35" s="204"/>
      <c r="M35" s="207"/>
      <c r="N35" s="198"/>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1"/>
        <v>0</v>
      </c>
      <c r="L38" s="204"/>
      <c r="M38" s="207"/>
      <c r="N38" s="198"/>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4"/>
      <c r="B39" s="193"/>
      <c r="C39" s="193"/>
      <c r="D39" s="193"/>
      <c r="E39" s="217"/>
      <c r="F39" s="193"/>
      <c r="G39" s="196"/>
      <c r="H39" s="205"/>
      <c r="I39" s="208"/>
      <c r="J39" s="211"/>
      <c r="K39" s="208">
        <f t="shared" ca="1" si="31"/>
        <v>0</v>
      </c>
      <c r="L39" s="205"/>
      <c r="M39" s="208"/>
      <c r="N39" s="199"/>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2">
        <v>6</v>
      </c>
      <c r="B40" s="191"/>
      <c r="C40" s="191"/>
      <c r="D40" s="191"/>
      <c r="E40" s="215"/>
      <c r="F40" s="191"/>
      <c r="G40" s="194"/>
      <c r="H40" s="203" t="str">
        <f>IF(G40&lt;=0,"",IF(G40&lt;=2,"Muy Baja",IF(G40&lt;=24,"Baja",IF(G40&lt;=500,"Media",IF(G40&lt;=5000,"Alta","Muy Alta")))))</f>
        <v/>
      </c>
      <c r="I40" s="206" t="str">
        <f>IF(H40="","",IF(H40="Muy Baja",0.2,IF(H40="Baja",0.4,IF(H40="Media",0.6,IF(H40="Alta",0.8,IF(H40="Muy Alta",1,))))))</f>
        <v/>
      </c>
      <c r="J40" s="209"/>
      <c r="K40" s="206">
        <f ca="1">IF(NOT(ISERROR(MATCH(J40,'Tabla Impacto'!$B$221:$B$223,0))),'Tabla Impacto'!$F$223&amp;"Por favor no seleccionar los criterios de impacto(Afectación Económica o presupuestal y Pérdida Reputacional)",J40)</f>
        <v>0</v>
      </c>
      <c r="L40" s="203" t="str">
        <f ca="1">IF(OR(K40='Tabla Impacto'!$C$11,K40='Tabla Impacto'!$D$11),"Leve",IF(OR(K40='Tabla Impacto'!$C$12,K40='Tabla Impacto'!$D$12),"Menor",IF(OR(K40='Tabla Impacto'!$C$13,K40='Tabla Impacto'!$D$13),"Moderado",IF(OR(K40='Tabla Impacto'!$C$14,K40='Tabla Impacto'!$D$14),"Mayor",IF(OR(K40='Tabla Impacto'!$C$15,K40='Tabla Impacto'!$D$15),"Catastrófico","")))))</f>
        <v/>
      </c>
      <c r="M40" s="206" t="str">
        <f ca="1">IF(L40="","",IF(L40="Leve",0.2,IF(L40="Menor",0.4,IF(L40="Moderado",0.6,IF(L40="Mayor",0.8,IF(L40="Catastrófico",1,))))))</f>
        <v/>
      </c>
      <c r="N40" s="19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ref="K41:K45" ca="1" si="39">IF(NOT(ISERROR(MATCH(J41,_xlfn.ANCHORARRAY(E52),0))),I54&amp;"Por favor no seleccionar los criterios de impacto",J41)</f>
        <v>0</v>
      </c>
      <c r="L41" s="204"/>
      <c r="M41" s="207"/>
      <c r="N41" s="198"/>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39"/>
        <v>0</v>
      </c>
      <c r="L44" s="204"/>
      <c r="M44" s="207"/>
      <c r="N44" s="198"/>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4"/>
      <c r="B45" s="193"/>
      <c r="C45" s="193"/>
      <c r="D45" s="193"/>
      <c r="E45" s="217"/>
      <c r="F45" s="193"/>
      <c r="G45" s="196"/>
      <c r="H45" s="205"/>
      <c r="I45" s="208"/>
      <c r="J45" s="211"/>
      <c r="K45" s="208">
        <f t="shared" ca="1" si="39"/>
        <v>0</v>
      </c>
      <c r="L45" s="205"/>
      <c r="M45" s="208"/>
      <c r="N45" s="199"/>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2">
        <v>7</v>
      </c>
      <c r="B46" s="191"/>
      <c r="C46" s="191"/>
      <c r="D46" s="191"/>
      <c r="E46" s="215"/>
      <c r="F46" s="191"/>
      <c r="G46" s="194"/>
      <c r="H46" s="203" t="str">
        <f>IF(G46&lt;=0,"",IF(G46&lt;=2,"Muy Baja",IF(G46&lt;=24,"Baja",IF(G46&lt;=500,"Media",IF(G46&lt;=5000,"Alta","Muy Alta")))))</f>
        <v/>
      </c>
      <c r="I46" s="206" t="str">
        <f>IF(H46="","",IF(H46="Muy Baja",0.2,IF(H46="Baja",0.4,IF(H46="Media",0.6,IF(H46="Alta",0.8,IF(H46="Muy Alta",1,))))))</f>
        <v/>
      </c>
      <c r="J46" s="209"/>
      <c r="K46" s="206">
        <f ca="1">IF(NOT(ISERROR(MATCH(J46,'Tabla Impacto'!$B$221:$B$223,0))),'Tabla Impacto'!$F$223&amp;"Por favor no seleccionar los criterios de impacto(Afectación Económica o presupuestal y Pérdida Reputacional)",J46)</f>
        <v>0</v>
      </c>
      <c r="L46" s="203" t="str">
        <f ca="1">IF(OR(K46='Tabla Impacto'!$C$11,K46='Tabla Impacto'!$D$11),"Leve",IF(OR(K46='Tabla Impacto'!$C$12,K46='Tabla Impacto'!$D$12),"Menor",IF(OR(K46='Tabla Impacto'!$C$13,K46='Tabla Impacto'!$D$13),"Moderado",IF(OR(K46='Tabla Impacto'!$C$14,K46='Tabla Impacto'!$D$14),"Mayor",IF(OR(K46='Tabla Impacto'!$C$15,K46='Tabla Impacto'!$D$15),"Catastrófico","")))))</f>
        <v/>
      </c>
      <c r="M46" s="206" t="str">
        <f ca="1">IF(L46="","",IF(L46="Leve",0.2,IF(L46="Menor",0.4,IF(L46="Moderado",0.6,IF(L46="Mayor",0.8,IF(L46="Catastrófico",1,))))))</f>
        <v/>
      </c>
      <c r="N46" s="19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ref="K47:K51" ca="1" si="47">IF(NOT(ISERROR(MATCH(J47,_xlfn.ANCHORARRAY(E58),0))),I60&amp;"Por favor no seleccionar los criterios de impacto",J47)</f>
        <v>0</v>
      </c>
      <c r="L47" s="204"/>
      <c r="M47" s="207"/>
      <c r="N47" s="198"/>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t="shared" ca="1" si="47"/>
        <v>0</v>
      </c>
      <c r="L50" s="204"/>
      <c r="M50" s="207"/>
      <c r="N50" s="198"/>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4"/>
      <c r="B51" s="193"/>
      <c r="C51" s="193"/>
      <c r="D51" s="193"/>
      <c r="E51" s="217"/>
      <c r="F51" s="193"/>
      <c r="G51" s="196"/>
      <c r="H51" s="205"/>
      <c r="I51" s="208"/>
      <c r="J51" s="211"/>
      <c r="K51" s="208">
        <f t="shared" ca="1" si="47"/>
        <v>0</v>
      </c>
      <c r="L51" s="205"/>
      <c r="M51" s="208"/>
      <c r="N51" s="199"/>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2">
        <v>8</v>
      </c>
      <c r="B52" s="191"/>
      <c r="C52" s="191"/>
      <c r="D52" s="191"/>
      <c r="E52" s="215"/>
      <c r="F52" s="191"/>
      <c r="G52" s="194"/>
      <c r="H52" s="203" t="str">
        <f>IF(G52&lt;=0,"",IF(G52&lt;=2,"Muy Baja",IF(G52&lt;=24,"Baja",IF(G52&lt;=500,"Media",IF(G52&lt;=5000,"Alta","Muy Alta")))))</f>
        <v/>
      </c>
      <c r="I52" s="206" t="str">
        <f>IF(H52="","",IF(H52="Muy Baja",0.2,IF(H52="Baja",0.4,IF(H52="Media",0.6,IF(H52="Alta",0.8,IF(H52="Muy Alta",1,))))))</f>
        <v/>
      </c>
      <c r="J52" s="209"/>
      <c r="K52" s="206">
        <f ca="1">IF(NOT(ISERROR(MATCH(J52,'Tabla Impacto'!$B$221:$B$223,0))),'Tabla Impacto'!$F$223&amp;"Por favor no seleccionar los criterios de impacto(Afectación Económica o presupuestal y Pérdida Reputacional)",J52)</f>
        <v>0</v>
      </c>
      <c r="L52" s="203" t="str">
        <f ca="1">IF(OR(K52='Tabla Impacto'!$C$11,K52='Tabla Impacto'!$D$11),"Leve",IF(OR(K52='Tabla Impacto'!$C$12,K52='Tabla Impacto'!$D$12),"Menor",IF(OR(K52='Tabla Impacto'!$C$13,K52='Tabla Impacto'!$D$13),"Moderado",IF(OR(K52='Tabla Impacto'!$C$14,K52='Tabla Impacto'!$D$14),"Mayor",IF(OR(K52='Tabla Impacto'!$C$15,K52='Tabla Impacto'!$D$15),"Catastrófico","")))))</f>
        <v/>
      </c>
      <c r="M52" s="206" t="str">
        <f ca="1">IF(L52="","",IF(L52="Leve",0.2,IF(L52="Menor",0.4,IF(L52="Moderado",0.6,IF(L52="Mayor",0.8,IF(L52="Catastrófico",1,))))))</f>
        <v/>
      </c>
      <c r="N52" s="19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4"/>
      <c r="B57" s="193"/>
      <c r="C57" s="193"/>
      <c r="D57" s="193"/>
      <c r="E57" s="217"/>
      <c r="F57" s="193"/>
      <c r="G57" s="196"/>
      <c r="H57" s="205"/>
      <c r="I57" s="208"/>
      <c r="J57" s="211"/>
      <c r="K57" s="208">
        <f ca="1">IF(NOT(ISERROR(MATCH(J57,_xlfn.ANCHORARRAY(E68),0))),I70&amp;"Por favor no seleccionar los criterios de impacto",J57)</f>
        <v>0</v>
      </c>
      <c r="L57" s="205"/>
      <c r="M57" s="208"/>
      <c r="N57" s="199"/>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2">
        <v>9</v>
      </c>
      <c r="B58" s="191"/>
      <c r="C58" s="191"/>
      <c r="D58" s="191"/>
      <c r="E58" s="215"/>
      <c r="F58" s="191"/>
      <c r="G58" s="194"/>
      <c r="H58" s="203" t="str">
        <f>IF(G58&lt;=0,"",IF(G58&lt;=2,"Muy Baja",IF(G58&lt;=24,"Baja",IF(G58&lt;=500,"Media",IF(G58&lt;=5000,"Alta","Muy Alta")))))</f>
        <v/>
      </c>
      <c r="I58" s="206" t="str">
        <f>IF(H58="","",IF(H58="Muy Baja",0.2,IF(H58="Baja",0.4,IF(H58="Media",0.6,IF(H58="Alta",0.8,IF(H58="Muy Alta",1,))))))</f>
        <v/>
      </c>
      <c r="J58" s="209"/>
      <c r="K58" s="206">
        <f ca="1">IF(NOT(ISERROR(MATCH(J58,'Tabla Impacto'!$B$221:$B$223,0))),'Tabla Impacto'!$F$223&amp;"Por favor no seleccionar los criterios de impacto(Afectación Económica o presupuestal y Pérdida Reputacional)",J58)</f>
        <v>0</v>
      </c>
      <c r="L58" s="203" t="str">
        <f ca="1">IF(OR(K58='Tabla Impacto'!$C$11,K58='Tabla Impacto'!$D$11),"Leve",IF(OR(K58='Tabla Impacto'!$C$12,K58='Tabla Impacto'!$D$12),"Menor",IF(OR(K58='Tabla Impacto'!$C$13,K58='Tabla Impacto'!$D$13),"Moderado",IF(OR(K58='Tabla Impacto'!$C$14,K58='Tabla Impacto'!$D$14),"Mayor",IF(OR(K58='Tabla Impacto'!$C$15,K58='Tabla Impacto'!$D$15),"Catastrófico","")))))</f>
        <v/>
      </c>
      <c r="M58" s="206" t="str">
        <f ca="1">IF(L58="","",IF(L58="Leve",0.2,IF(L58="Menor",0.4,IF(L58="Moderado",0.6,IF(L58="Mayor",0.8,IF(L58="Catastrófico",1,))))))</f>
        <v/>
      </c>
      <c r="N58" s="19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4"/>
      <c r="B63" s="193"/>
      <c r="C63" s="193"/>
      <c r="D63" s="193"/>
      <c r="E63" s="217"/>
      <c r="F63" s="193"/>
      <c r="G63" s="196"/>
      <c r="H63" s="205"/>
      <c r="I63" s="208"/>
      <c r="J63" s="211"/>
      <c r="K63" s="208">
        <f ca="1">IF(NOT(ISERROR(MATCH(J63,_xlfn.ANCHORARRAY(E74),0))),I76&amp;"Por favor no seleccionar los criterios de impacto",J63)</f>
        <v>0</v>
      </c>
      <c r="L63" s="205"/>
      <c r="M63" s="208"/>
      <c r="N63" s="199"/>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2">
        <v>10</v>
      </c>
      <c r="B64" s="191"/>
      <c r="C64" s="191"/>
      <c r="D64" s="191"/>
      <c r="E64" s="215"/>
      <c r="F64" s="191"/>
      <c r="G64" s="194"/>
      <c r="H64" s="203" t="str">
        <f>IF(G64&lt;=0,"",IF(G64&lt;=2,"Muy Baja",IF(G64&lt;=24,"Baja",IF(G64&lt;=500,"Media",IF(G64&lt;=5000,"Alta","Muy Alta")))))</f>
        <v/>
      </c>
      <c r="I64" s="206" t="str">
        <f>IF(H64="","",IF(H64="Muy Baja",0.2,IF(H64="Baja",0.4,IF(H64="Media",0.6,IF(H64="Alta",0.8,IF(H64="Muy Alta",1,))))))</f>
        <v/>
      </c>
      <c r="J64" s="209"/>
      <c r="K64" s="206">
        <f ca="1">IF(NOT(ISERROR(MATCH(J64,'Tabla Impacto'!$B$221:$B$223,0))),'Tabla Impacto'!$F$223&amp;"Por favor no seleccionar los criterios de impacto(Afectación Económica o presupuestal y Pérdida Reputacional)",J64)</f>
        <v>0</v>
      </c>
      <c r="L64" s="203" t="str">
        <f ca="1">IF(OR(K64='Tabla Impacto'!$C$11,K64='Tabla Impacto'!$D$11),"Leve",IF(OR(K64='Tabla Impacto'!$C$12,K64='Tabla Impacto'!$D$12),"Menor",IF(OR(K64='Tabla Impacto'!$C$13,K64='Tabla Impacto'!$D$13),"Moderado",IF(OR(K64='Tabla Impacto'!$C$14,K64='Tabla Impacto'!$D$14),"Mayor",IF(OR(K64='Tabla Impacto'!$C$15,K64='Tabla Impacto'!$D$15),"Catastrófico","")))))</f>
        <v/>
      </c>
      <c r="M64" s="206" t="str">
        <f ca="1">IF(L64="","",IF(L64="Leve",0.2,IF(L64="Menor",0.4,IF(L64="Moderado",0.6,IF(L64="Mayor",0.8,IF(L64="Catastrófico",1,))))))</f>
        <v/>
      </c>
      <c r="N64" s="19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3"/>
      <c r="B68" s="192"/>
      <c r="C68" s="192"/>
      <c r="D68" s="192"/>
      <c r="E68" s="216"/>
      <c r="F68" s="192"/>
      <c r="G68" s="195"/>
      <c r="H68" s="204"/>
      <c r="I68" s="207"/>
      <c r="J68" s="210"/>
      <c r="K68" s="207">
        <f ca="1">IF(NOT(ISERROR(MATCH(J68,_xlfn.ANCHORARRAY(E79),0))),I81&amp;"Por favor no seleccionar los criterios de impacto",J68)</f>
        <v>0</v>
      </c>
      <c r="L68" s="204"/>
      <c r="M68" s="207"/>
      <c r="N68" s="198"/>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4"/>
      <c r="B69" s="193"/>
      <c r="C69" s="193"/>
      <c r="D69" s="193"/>
      <c r="E69" s="217"/>
      <c r="F69" s="193"/>
      <c r="G69" s="196"/>
      <c r="H69" s="205"/>
      <c r="I69" s="208"/>
      <c r="J69" s="211"/>
      <c r="K69" s="208">
        <f ca="1">IF(NOT(ISERROR(MATCH(J69,_xlfn.ANCHORARRAY(E80),0))),I82&amp;"Por favor no seleccionar los criterios de impacto",J69)</f>
        <v>0</v>
      </c>
      <c r="L69" s="205"/>
      <c r="M69" s="208"/>
      <c r="N69" s="199"/>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00" t="s">
        <v>131</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2"/>
    </row>
    <row r="72" spans="1:36" x14ac:dyDescent="0.3">
      <c r="A72" s="1"/>
      <c r="B72" s="24" t="s">
        <v>143</v>
      </c>
      <c r="C72" s="1"/>
      <c r="D72" s="1"/>
      <c r="F72" s="1"/>
    </row>
  </sheetData>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528" priority="227" operator="equal">
      <formula>"Muy Alta"</formula>
    </cfRule>
    <cfRule type="cellIs" dxfId="527" priority="228" operator="equal">
      <formula>"Alta"</formula>
    </cfRule>
    <cfRule type="cellIs" dxfId="526" priority="229" operator="equal">
      <formula>"Media"</formula>
    </cfRule>
    <cfRule type="cellIs" dxfId="525" priority="230" operator="equal">
      <formula>"Baja"</formula>
    </cfRule>
    <cfRule type="cellIs" dxfId="524" priority="231" operator="equal">
      <formula>"Muy Baja"</formula>
    </cfRule>
  </conditionalFormatting>
  <conditionalFormatting sqref="H22">
    <cfRule type="cellIs" dxfId="523" priority="181" operator="equal">
      <formula>"Muy Alta"</formula>
    </cfRule>
    <cfRule type="cellIs" dxfId="522" priority="182" operator="equal">
      <formula>"Alta"</formula>
    </cfRule>
    <cfRule type="cellIs" dxfId="521" priority="183" operator="equal">
      <formula>"Media"</formula>
    </cfRule>
    <cfRule type="cellIs" dxfId="520" priority="184" operator="equal">
      <formula>"Baja"</formula>
    </cfRule>
    <cfRule type="cellIs" dxfId="519" priority="185" operator="equal">
      <formula>"Muy Baja"</formula>
    </cfRule>
  </conditionalFormatting>
  <conditionalFormatting sqref="H28">
    <cfRule type="cellIs" dxfId="518" priority="158" operator="equal">
      <formula>"Muy Alta"</formula>
    </cfRule>
    <cfRule type="cellIs" dxfId="517" priority="159" operator="equal">
      <formula>"Alta"</formula>
    </cfRule>
    <cfRule type="cellIs" dxfId="516" priority="160" operator="equal">
      <formula>"Media"</formula>
    </cfRule>
    <cfRule type="cellIs" dxfId="515" priority="161" operator="equal">
      <formula>"Baja"</formula>
    </cfRule>
    <cfRule type="cellIs" dxfId="514" priority="162" operator="equal">
      <formula>"Muy Baja"</formula>
    </cfRule>
  </conditionalFormatting>
  <conditionalFormatting sqref="H34">
    <cfRule type="cellIs" dxfId="513" priority="135" operator="equal">
      <formula>"Muy Alta"</formula>
    </cfRule>
    <cfRule type="cellIs" dxfId="512" priority="136" operator="equal">
      <formula>"Alta"</formula>
    </cfRule>
    <cfRule type="cellIs" dxfId="511" priority="137" operator="equal">
      <formula>"Media"</formula>
    </cfRule>
    <cfRule type="cellIs" dxfId="510" priority="138" operator="equal">
      <formula>"Baja"</formula>
    </cfRule>
    <cfRule type="cellIs" dxfId="509" priority="139" operator="equal">
      <formula>"Muy Baja"</formula>
    </cfRule>
  </conditionalFormatting>
  <conditionalFormatting sqref="H40">
    <cfRule type="cellIs" dxfId="508" priority="112" operator="equal">
      <formula>"Muy Alta"</formula>
    </cfRule>
    <cfRule type="cellIs" dxfId="507" priority="113" operator="equal">
      <formula>"Alta"</formula>
    </cfRule>
    <cfRule type="cellIs" dxfId="506" priority="114" operator="equal">
      <formula>"Media"</formula>
    </cfRule>
    <cfRule type="cellIs" dxfId="505" priority="115" operator="equal">
      <formula>"Baja"</formula>
    </cfRule>
    <cfRule type="cellIs" dxfId="504" priority="116" operator="equal">
      <formula>"Muy Baja"</formula>
    </cfRule>
  </conditionalFormatting>
  <conditionalFormatting sqref="H46">
    <cfRule type="cellIs" dxfId="503" priority="89" operator="equal">
      <formula>"Muy Alta"</formula>
    </cfRule>
    <cfRule type="cellIs" dxfId="502" priority="90" operator="equal">
      <formula>"Alta"</formula>
    </cfRule>
    <cfRule type="cellIs" dxfId="501" priority="91" operator="equal">
      <formula>"Media"</formula>
    </cfRule>
    <cfRule type="cellIs" dxfId="500" priority="92" operator="equal">
      <formula>"Baja"</formula>
    </cfRule>
    <cfRule type="cellIs" dxfId="499" priority="93" operator="equal">
      <formula>"Muy Baja"</formula>
    </cfRule>
  </conditionalFormatting>
  <conditionalFormatting sqref="H52">
    <cfRule type="cellIs" dxfId="498" priority="66" operator="equal">
      <formula>"Muy Alta"</formula>
    </cfRule>
    <cfRule type="cellIs" dxfId="497" priority="67" operator="equal">
      <formula>"Alta"</formula>
    </cfRule>
    <cfRule type="cellIs" dxfId="496" priority="68" operator="equal">
      <formula>"Media"</formula>
    </cfRule>
    <cfRule type="cellIs" dxfId="495" priority="69" operator="equal">
      <formula>"Baja"</formula>
    </cfRule>
    <cfRule type="cellIs" dxfId="494" priority="70" operator="equal">
      <formula>"Muy Baja"</formula>
    </cfRule>
  </conditionalFormatting>
  <conditionalFormatting sqref="H58">
    <cfRule type="cellIs" dxfId="493" priority="43" operator="equal">
      <formula>"Muy Alta"</formula>
    </cfRule>
    <cfRule type="cellIs" dxfId="492" priority="44" operator="equal">
      <formula>"Alta"</formula>
    </cfRule>
    <cfRule type="cellIs" dxfId="491" priority="45" operator="equal">
      <formula>"Media"</formula>
    </cfRule>
    <cfRule type="cellIs" dxfId="490" priority="46" operator="equal">
      <formula>"Baja"</formula>
    </cfRule>
    <cfRule type="cellIs" dxfId="489" priority="47" operator="equal">
      <formula>"Muy Baja"</formula>
    </cfRule>
  </conditionalFormatting>
  <conditionalFormatting sqref="H64">
    <cfRule type="cellIs" dxfId="488" priority="20" operator="equal">
      <formula>"Muy Alta"</formula>
    </cfRule>
    <cfRule type="cellIs" dxfId="487" priority="21" operator="equal">
      <formula>"Alta"</formula>
    </cfRule>
    <cfRule type="cellIs" dxfId="486" priority="22" operator="equal">
      <formula>"Media"</formula>
    </cfRule>
    <cfRule type="cellIs" dxfId="485" priority="23" operator="equal">
      <formula>"Baja"</formula>
    </cfRule>
    <cfRule type="cellIs" dxfId="484" priority="24" operator="equal">
      <formula>"Muy Baja"</formula>
    </cfRule>
  </conditionalFormatting>
  <conditionalFormatting sqref="K10:K69">
    <cfRule type="containsText" dxfId="483" priority="1" operator="containsText" text="❌">
      <formula>NOT(ISERROR(SEARCH("❌",K10)))</formula>
    </cfRule>
  </conditionalFormatting>
  <conditionalFormatting sqref="L10 L16 L22 L28 L34 L40 L46 L52 L58 L64">
    <cfRule type="cellIs" dxfId="482" priority="222" operator="equal">
      <formula>"Catastrófico"</formula>
    </cfRule>
    <cfRule type="cellIs" dxfId="481" priority="223" operator="equal">
      <formula>"Mayor"</formula>
    </cfRule>
    <cfRule type="cellIs" dxfId="480" priority="224" operator="equal">
      <formula>"Moderado"</formula>
    </cfRule>
    <cfRule type="cellIs" dxfId="479" priority="225" operator="equal">
      <formula>"Menor"</formula>
    </cfRule>
    <cfRule type="cellIs" dxfId="478" priority="226" operator="equal">
      <formula>"Leve"</formula>
    </cfRule>
  </conditionalFormatting>
  <conditionalFormatting sqref="N10">
    <cfRule type="cellIs" dxfId="477" priority="218" operator="equal">
      <formula>"Extremo"</formula>
    </cfRule>
    <cfRule type="cellIs" dxfId="476" priority="219" operator="equal">
      <formula>"Alto"</formula>
    </cfRule>
    <cfRule type="cellIs" dxfId="475" priority="220" operator="equal">
      <formula>"Moderado"</formula>
    </cfRule>
    <cfRule type="cellIs" dxfId="474" priority="221" operator="equal">
      <formula>"Bajo"</formula>
    </cfRule>
  </conditionalFormatting>
  <conditionalFormatting sqref="N16">
    <cfRule type="cellIs" dxfId="473" priority="200" operator="equal">
      <formula>"Extremo"</formula>
    </cfRule>
    <cfRule type="cellIs" dxfId="472" priority="201" operator="equal">
      <formula>"Alto"</formula>
    </cfRule>
    <cfRule type="cellIs" dxfId="471" priority="202" operator="equal">
      <formula>"Moderado"</formula>
    </cfRule>
    <cfRule type="cellIs" dxfId="470" priority="203" operator="equal">
      <formula>"Bajo"</formula>
    </cfRule>
  </conditionalFormatting>
  <conditionalFormatting sqref="N22">
    <cfRule type="cellIs" dxfId="469" priority="177" operator="equal">
      <formula>"Extremo"</formula>
    </cfRule>
    <cfRule type="cellIs" dxfId="468" priority="178" operator="equal">
      <formula>"Alto"</formula>
    </cfRule>
    <cfRule type="cellIs" dxfId="467" priority="179" operator="equal">
      <formula>"Moderado"</formula>
    </cfRule>
    <cfRule type="cellIs" dxfId="466" priority="180" operator="equal">
      <formula>"Bajo"</formula>
    </cfRule>
  </conditionalFormatting>
  <conditionalFormatting sqref="N28">
    <cfRule type="cellIs" dxfId="465" priority="154" operator="equal">
      <formula>"Extremo"</formula>
    </cfRule>
    <cfRule type="cellIs" dxfId="464" priority="155" operator="equal">
      <formula>"Alto"</formula>
    </cfRule>
    <cfRule type="cellIs" dxfId="463" priority="156" operator="equal">
      <formula>"Moderado"</formula>
    </cfRule>
    <cfRule type="cellIs" dxfId="462" priority="157" operator="equal">
      <formula>"Bajo"</formula>
    </cfRule>
  </conditionalFormatting>
  <conditionalFormatting sqref="N34">
    <cfRule type="cellIs" dxfId="461" priority="131" operator="equal">
      <formula>"Extremo"</formula>
    </cfRule>
    <cfRule type="cellIs" dxfId="460" priority="132" operator="equal">
      <formula>"Alto"</formula>
    </cfRule>
    <cfRule type="cellIs" dxfId="459" priority="133" operator="equal">
      <formula>"Moderado"</formula>
    </cfRule>
    <cfRule type="cellIs" dxfId="458" priority="134" operator="equal">
      <formula>"Bajo"</formula>
    </cfRule>
  </conditionalFormatting>
  <conditionalFormatting sqref="N40">
    <cfRule type="cellIs" dxfId="457" priority="108" operator="equal">
      <formula>"Extremo"</formula>
    </cfRule>
    <cfRule type="cellIs" dxfId="456" priority="109" operator="equal">
      <formula>"Alto"</formula>
    </cfRule>
    <cfRule type="cellIs" dxfId="455" priority="110" operator="equal">
      <formula>"Moderado"</formula>
    </cfRule>
    <cfRule type="cellIs" dxfId="454" priority="111" operator="equal">
      <formula>"Bajo"</formula>
    </cfRule>
  </conditionalFormatting>
  <conditionalFormatting sqref="N46">
    <cfRule type="cellIs" dxfId="453" priority="85" operator="equal">
      <formula>"Extremo"</formula>
    </cfRule>
    <cfRule type="cellIs" dxfId="452" priority="86" operator="equal">
      <formula>"Alto"</formula>
    </cfRule>
    <cfRule type="cellIs" dxfId="451" priority="87" operator="equal">
      <formula>"Moderado"</formula>
    </cfRule>
    <cfRule type="cellIs" dxfId="450" priority="88" operator="equal">
      <formula>"Bajo"</formula>
    </cfRule>
  </conditionalFormatting>
  <conditionalFormatting sqref="N52">
    <cfRule type="cellIs" dxfId="449" priority="62" operator="equal">
      <formula>"Extremo"</formula>
    </cfRule>
    <cfRule type="cellIs" dxfId="448" priority="63" operator="equal">
      <formula>"Alto"</formula>
    </cfRule>
    <cfRule type="cellIs" dxfId="447" priority="64" operator="equal">
      <formula>"Moderado"</formula>
    </cfRule>
    <cfRule type="cellIs" dxfId="446" priority="65" operator="equal">
      <formula>"Bajo"</formula>
    </cfRule>
  </conditionalFormatting>
  <conditionalFormatting sqref="N58">
    <cfRule type="cellIs" dxfId="445" priority="39" operator="equal">
      <formula>"Extremo"</formula>
    </cfRule>
    <cfRule type="cellIs" dxfId="444" priority="40" operator="equal">
      <formula>"Alto"</formula>
    </cfRule>
    <cfRule type="cellIs" dxfId="443" priority="41" operator="equal">
      <formula>"Moderado"</formula>
    </cfRule>
    <cfRule type="cellIs" dxfId="442" priority="42" operator="equal">
      <formula>"Bajo"</formula>
    </cfRule>
  </conditionalFormatting>
  <conditionalFormatting sqref="N64">
    <cfRule type="cellIs" dxfId="441" priority="16" operator="equal">
      <formula>"Extremo"</formula>
    </cfRule>
    <cfRule type="cellIs" dxfId="440" priority="17" operator="equal">
      <formula>"Alto"</formula>
    </cfRule>
    <cfRule type="cellIs" dxfId="439" priority="18" operator="equal">
      <formula>"Moderado"</formula>
    </cfRule>
    <cfRule type="cellIs" dxfId="438" priority="19" operator="equal">
      <formula>"Bajo"</formula>
    </cfRule>
  </conditionalFormatting>
  <conditionalFormatting sqref="Y10:Y69">
    <cfRule type="cellIs" dxfId="437" priority="11" operator="equal">
      <formula>"Muy Alta"</formula>
    </cfRule>
    <cfRule type="cellIs" dxfId="436" priority="12" operator="equal">
      <formula>"Alta"</formula>
    </cfRule>
    <cfRule type="cellIs" dxfId="435" priority="13" operator="equal">
      <formula>"Media"</formula>
    </cfRule>
    <cfRule type="cellIs" dxfId="434" priority="14" operator="equal">
      <formula>"Baja"</formula>
    </cfRule>
    <cfRule type="cellIs" dxfId="433" priority="15" operator="equal">
      <formula>"Muy Baja"</formula>
    </cfRule>
  </conditionalFormatting>
  <conditionalFormatting sqref="AA10:AA69">
    <cfRule type="cellIs" dxfId="432" priority="6" operator="equal">
      <formula>"Catastrófico"</formula>
    </cfRule>
    <cfRule type="cellIs" dxfId="431" priority="7" operator="equal">
      <formula>"Mayor"</formula>
    </cfRule>
    <cfRule type="cellIs" dxfId="430" priority="8" operator="equal">
      <formula>"Moderado"</formula>
    </cfRule>
    <cfRule type="cellIs" dxfId="429" priority="9" operator="equal">
      <formula>"Menor"</formula>
    </cfRule>
    <cfRule type="cellIs" dxfId="428" priority="10" operator="equal">
      <formula>"Leve"</formula>
    </cfRule>
  </conditionalFormatting>
  <conditionalFormatting sqref="AC10:AC69">
    <cfRule type="cellIs" dxfId="427" priority="2" operator="equal">
      <formula>"Extremo"</formula>
    </cfRule>
    <cfRule type="cellIs" dxfId="426" priority="3" operator="equal">
      <formula>"Alto"</formula>
    </cfRule>
    <cfRule type="cellIs" dxfId="425" priority="4" operator="equal">
      <formula>"Moderado"</formula>
    </cfRule>
    <cfRule type="cellIs" dxfId="424"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459B0197-A9E5-46BB-8521-F8F9186BD394}">
          <x14:formula1>
            <xm:f>'Tabla Valoración controles'!$D$4:$D$6</xm:f>
          </x14:formula1>
          <xm:sqref>R10:R69</xm:sqref>
        </x14:dataValidation>
        <x14:dataValidation type="list" allowBlank="1" showInputMessage="1" showErrorMessage="1" xr:uid="{496B8FF8-64DB-452F-B1B2-8A8D43F1CD3D}">
          <x14:formula1>
            <xm:f>'Tabla Valoración controles'!$D$7:$D$8</xm:f>
          </x14:formula1>
          <xm:sqref>S10:S69</xm:sqref>
        </x14:dataValidation>
        <x14:dataValidation type="list" allowBlank="1" showInputMessage="1" showErrorMessage="1" xr:uid="{030906DF-32BB-4AE5-8812-90CD0A1ABE47}">
          <x14:formula1>
            <xm:f>'Tabla Valoración controles'!$D$9:$D$10</xm:f>
          </x14:formula1>
          <xm:sqref>U10:U69</xm:sqref>
        </x14:dataValidation>
        <x14:dataValidation type="list" allowBlank="1" showInputMessage="1" showErrorMessage="1" xr:uid="{803220E4-B45C-43ED-B181-8A69CA61FF0E}">
          <x14:formula1>
            <xm:f>'Tabla Valoración controles'!$D$11:$D$12</xm:f>
          </x14:formula1>
          <xm:sqref>V10:V69</xm:sqref>
        </x14:dataValidation>
        <x14:dataValidation type="list" allowBlank="1" showInputMessage="1" showErrorMessage="1" xr:uid="{7E1C7143-AF22-4A49-87AF-78C740479C3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29A2C5DD-BF66-44C7-8A16-A5EAF8F008C3}">
          <x14:formula1>
            <xm:f>'Tabla Valoración controles'!$D$13:$D$14</xm:f>
          </x14:formula1>
          <xm:sqref>W10:W69</xm:sqref>
        </x14:dataValidation>
        <x14:dataValidation type="list" allowBlank="1" showInputMessage="1" showErrorMessage="1" xr:uid="{41880701-D019-431D-AE0B-3144B83A2167}">
          <x14:formula1>
            <xm:f>'Opciones Tratamiento'!$B$13:$B$19</xm:f>
          </x14:formula1>
          <xm:sqref>F10:F69</xm:sqref>
        </x14:dataValidation>
        <x14:dataValidation type="list" allowBlank="1" showInputMessage="1" showErrorMessage="1" xr:uid="{97FED4F5-6545-4FF0-A65B-D658602A174B}">
          <x14:formula1>
            <xm:f>'Opciones Tratamiento'!$E$2:$E$4</xm:f>
          </x14:formula1>
          <xm:sqref>B10:B69</xm:sqref>
        </x14:dataValidation>
        <x14:dataValidation type="list" allowBlank="1" showInputMessage="1" showErrorMessage="1" xr:uid="{EA1E9D71-3A02-43D0-8FE2-8BD1660DC9E0}">
          <x14:formula1>
            <xm:f>'Opciones Tratamiento'!$B$2:$B$5</xm:f>
          </x14:formula1>
          <xm:sqref>AD10:AD69</xm:sqref>
        </x14:dataValidation>
        <x14:dataValidation type="list" allowBlank="1" showInputMessage="1" showErrorMessage="1" xr:uid="{28BC798A-7E22-42F8-A0D6-92B2B5B4AEC4}">
          <x14:formula1>
            <xm:f>'Tabla Impacto'!$F$210:$F$221</xm:f>
          </x14:formula1>
          <xm:sqref>J10:J69</xm:sqref>
        </x14:dataValidation>
        <x14:dataValidation type="custom" allowBlank="1" showInputMessage="1" showErrorMessage="1" error="Recuerde que las acciones se generan bajo la medida de mitigar el riesgo" xr:uid="{22B1A818-A64F-4242-97B7-ED47720B282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BAFE1813-D7AA-41DD-A361-7F81DCF8D006}">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9AD1F52E-FFF4-4488-AB35-A12B46A52C5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D4C2CEA6-BA61-4D07-9866-21ADFC541742}">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7C225E0-A68C-4681-872B-B80222373A0F}">
          <x14:formula1>
            <xm:f>IF(OR(AD11='Opciones Tratamiento'!$B$2,AD11='Opciones Tratamiento'!$B$3,AD11='Opciones Tratamiento'!$B$4),ISBLANK(AD11),ISTEXT(AD11))</xm:f>
          </x14:formula1>
          <xm:sqref>AI11:AI69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48B0E-8DAA-45A0-9954-3F83DBE021DF}">
  <sheetPr>
    <tabColor rgb="FF7030A0"/>
  </sheetPr>
  <dimension ref="A1:BP72"/>
  <sheetViews>
    <sheetView topLeftCell="J7" zoomScale="53" zoomScaleNormal="53" workbookViewId="0">
      <selection activeCell="AH11" sqref="AH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355</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353</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354</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132</v>
      </c>
      <c r="C10" s="191" t="s">
        <v>302</v>
      </c>
      <c r="D10" s="191" t="s">
        <v>301</v>
      </c>
      <c r="E10" s="215" t="s">
        <v>300</v>
      </c>
      <c r="F10" s="191" t="s">
        <v>123</v>
      </c>
      <c r="G10" s="194">
        <v>200</v>
      </c>
      <c r="H10" s="203" t="str">
        <f>IF(G10&lt;=0,"",IF(G10&lt;=2,"Muy Baja",IF(G10&lt;=24,"Baja",IF(G10&lt;=500,"Media",IF(G10&lt;=5000,"Alta","Muy Alta")))))</f>
        <v>Media</v>
      </c>
      <c r="I10" s="206">
        <f>IF(H10="","",IF(H10="Muy Baja",0.2,IF(H10="Baja",0.4,IF(H10="Media",0.6,IF(H10="Alta",0.8,IF(H10="Muy Alta",1,))))))</f>
        <v>0.6</v>
      </c>
      <c r="J10" s="209" t="s">
        <v>155</v>
      </c>
      <c r="K10" s="206"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03"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06">
        <f ca="1">IF(L10="","",IF(L10="Leve",0.2,IF(L10="Menor",0.4,IF(L10="Moderado",0.6,IF(L10="Mayor",0.8,IF(L10="Catastrófico",1,))))))</f>
        <v>0.6</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304</v>
      </c>
      <c r="AF10" s="133" t="s">
        <v>420</v>
      </c>
      <c r="AG10" s="135">
        <v>45291</v>
      </c>
      <c r="AH10" s="135">
        <v>45271</v>
      </c>
      <c r="AI10" s="133" t="s">
        <v>418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2</v>
      </c>
      <c r="P11" s="124" t="s">
        <v>305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20</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419</v>
      </c>
      <c r="AF11" s="133" t="s">
        <v>420</v>
      </c>
      <c r="AG11" s="135">
        <v>45291</v>
      </c>
      <c r="AH11" s="135">
        <v>45271</v>
      </c>
      <c r="AI11" s="133" t="s">
        <v>417</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4"/>
      <c r="B15" s="193"/>
      <c r="C15" s="193"/>
      <c r="D15" s="193"/>
      <c r="E15" s="217"/>
      <c r="F15" s="193"/>
      <c r="G15" s="196"/>
      <c r="H15" s="205"/>
      <c r="I15" s="208"/>
      <c r="J15" s="211"/>
      <c r="K15" s="208">
        <f ca="1">IF(NOT(ISERROR(MATCH(J15,_xlfn.ANCHORARRAY(E26),0))),I28&amp;"Por favor no seleccionar los criterios de impacto",J15)</f>
        <v>0</v>
      </c>
      <c r="L15" s="205"/>
      <c r="M15" s="208"/>
      <c r="N15" s="199"/>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2">
        <v>2</v>
      </c>
      <c r="B16" s="191"/>
      <c r="C16" s="191"/>
      <c r="D16" s="250"/>
      <c r="E16" s="250"/>
      <c r="F16" s="191"/>
      <c r="G16" s="194"/>
      <c r="H16" s="203" t="str">
        <f>IF(G16&lt;=0,"",IF(G16&lt;=2,"Muy Baja",IF(G16&lt;=24,"Baja",IF(G16&lt;=500,"Media",IF(G16&lt;=5000,"Alta","Muy Alta")))))</f>
        <v/>
      </c>
      <c r="I16" s="206" t="str">
        <f>IF(H16="","",IF(H16="Muy Baja",0.2,IF(H16="Baja",0.4,IF(H16="Media",0.6,IF(H16="Alta",0.8,IF(H16="Muy Alta",1,))))))</f>
        <v/>
      </c>
      <c r="J16" s="209"/>
      <c r="K16" s="206">
        <f ca="1">IF(NOT(ISERROR(MATCH(J16,'Tabla Impacto'!$B$221:$B$223,0))),'Tabla Impacto'!$F$223&amp;"Por favor no seleccionar los criterios de impacto(Afectación Económica o presupuestal y Pérdida Reputacional)",J16)</f>
        <v>0</v>
      </c>
      <c r="L16" s="203" t="str">
        <f ca="1">IF(OR(K16='Tabla Impacto'!$C$11,K16='Tabla Impacto'!$D$11),"Leve",IF(OR(K16='Tabla Impacto'!$C$12,K16='Tabla Impacto'!$D$12),"Menor",IF(OR(K16='Tabla Impacto'!$C$13,K16='Tabla Impacto'!$D$13),"Moderado",IF(OR(K16='Tabla Impacto'!$C$14,K16='Tabla Impacto'!$D$14),"Mayor",IF(OR(K16='Tabla Impacto'!$C$15,K16='Tabla Impacto'!$D$15),"Catastrófico","")))))</f>
        <v/>
      </c>
      <c r="M16" s="206" t="str">
        <f ca="1">IF(L16="","",IF(L16="Leve",0.2,IF(L16="Menor",0.4,IF(L16="Moderado",0.6,IF(L16="Mayor",0.8,IF(L16="Catastrófico",1,))))))</f>
        <v/>
      </c>
      <c r="N16" s="19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251"/>
      <c r="E17" s="251"/>
      <c r="F17" s="192"/>
      <c r="G17" s="195"/>
      <c r="H17" s="204"/>
      <c r="I17" s="207"/>
      <c r="J17" s="210"/>
      <c r="K17" s="207">
        <f ca="1">IF(NOT(ISERROR(MATCH(J17,_xlfn.ANCHORARRAY(E28),0))),I30&amp;"Por favor no seleccionar los criterios de impacto",J17)</f>
        <v>0</v>
      </c>
      <c r="L17" s="204"/>
      <c r="M17" s="207"/>
      <c r="N17" s="198"/>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251"/>
      <c r="E18" s="251"/>
      <c r="F18" s="192"/>
      <c r="G18" s="195"/>
      <c r="H18" s="204"/>
      <c r="I18" s="207"/>
      <c r="J18" s="210"/>
      <c r="K18" s="207">
        <f ca="1">IF(NOT(ISERROR(MATCH(J18,_xlfn.ANCHORARRAY(E29),0))),I31&amp;"Por favor no seleccionar los criterios de impacto",J18)</f>
        <v>0</v>
      </c>
      <c r="L18" s="204"/>
      <c r="M18" s="207"/>
      <c r="N18" s="198"/>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250"/>
      <c r="E19" s="250"/>
      <c r="F19" s="192"/>
      <c r="G19" s="195"/>
      <c r="H19" s="204"/>
      <c r="I19" s="207"/>
      <c r="J19" s="210"/>
      <c r="K19" s="207">
        <f ca="1">IF(NOT(ISERROR(MATCH(J19,_xlfn.ANCHORARRAY(E30),0))),I32&amp;"Por favor no seleccionar los criterios de impacto",J19)</f>
        <v>0</v>
      </c>
      <c r="L19" s="204"/>
      <c r="M19" s="207"/>
      <c r="N19" s="198"/>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251"/>
      <c r="E20" s="251"/>
      <c r="F20" s="192"/>
      <c r="G20" s="195"/>
      <c r="H20" s="204"/>
      <c r="I20" s="207"/>
      <c r="J20" s="210"/>
      <c r="K20" s="207">
        <f ca="1">IF(NOT(ISERROR(MATCH(J20,_xlfn.ANCHORARRAY(E31),0))),I33&amp;"Por favor no seleccionar los criterios de impacto",J20)</f>
        <v>0</v>
      </c>
      <c r="L20" s="204"/>
      <c r="M20" s="207"/>
      <c r="N20" s="198"/>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4"/>
      <c r="B21" s="193"/>
      <c r="C21" s="193"/>
      <c r="D21" s="251"/>
      <c r="E21" s="251"/>
      <c r="F21" s="193"/>
      <c r="G21" s="196"/>
      <c r="H21" s="205"/>
      <c r="I21" s="208"/>
      <c r="J21" s="211"/>
      <c r="K21" s="208">
        <f ca="1">IF(NOT(ISERROR(MATCH(J21,_xlfn.ANCHORARRAY(E32),0))),I34&amp;"Por favor no seleccionar los criterios de impacto",J21)</f>
        <v>0</v>
      </c>
      <c r="L21" s="205"/>
      <c r="M21" s="208"/>
      <c r="N21" s="199"/>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2">
        <v>3</v>
      </c>
      <c r="B22" s="191"/>
      <c r="C22" s="191"/>
      <c r="D22" s="191"/>
      <c r="E22" s="215"/>
      <c r="F22" s="191"/>
      <c r="G22" s="194"/>
      <c r="H22" s="203" t="str">
        <f>IF(G22&lt;=0,"",IF(G22&lt;=2,"Muy Baja",IF(G22&lt;=24,"Baja",IF(G22&lt;=500,"Media",IF(G22&lt;=5000,"Alta","Muy Alta")))))</f>
        <v/>
      </c>
      <c r="I22" s="206" t="str">
        <f>IF(H22="","",IF(H22="Muy Baja",0.2,IF(H22="Baja",0.4,IF(H22="Media",0.6,IF(H22="Alta",0.8,IF(H22="Muy Alta",1,))))))</f>
        <v/>
      </c>
      <c r="J22" s="209"/>
      <c r="K22" s="206">
        <f ca="1">IF(NOT(ISERROR(MATCH(J22,'Tabla Impacto'!$B$221:$B$223,0))),'Tabla Impacto'!$F$223&amp;"Por favor no seleccionar los criterios de impacto(Afectación Económica o presupuestal y Pérdida Reputacional)",J22)</f>
        <v>0</v>
      </c>
      <c r="L22" s="203" t="str">
        <f ca="1">IF(OR(K22='Tabla Impacto'!$C$11,K22='Tabla Impacto'!$D$11),"Leve",IF(OR(K22='Tabla Impacto'!$C$12,K22='Tabla Impacto'!$D$12),"Menor",IF(OR(K22='Tabla Impacto'!$C$13,K22='Tabla Impacto'!$D$13),"Moderado",IF(OR(K22='Tabla Impacto'!$C$14,K22='Tabla Impacto'!$D$14),"Mayor",IF(OR(K22='Tabla Impacto'!$C$15,K22='Tabla Impacto'!$D$15),"Catastrófico","")))))</f>
        <v/>
      </c>
      <c r="M22" s="206" t="str">
        <f ca="1">IF(L22="","",IF(L22="Leve",0.2,IF(L22="Menor",0.4,IF(L22="Moderado",0.6,IF(L22="Mayor",0.8,IF(L22="Catastrófico",1,))))))</f>
        <v/>
      </c>
      <c r="N22" s="19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ref="K23:K27" ca="1" si="15">IF(NOT(ISERROR(MATCH(J23,_xlfn.ANCHORARRAY(E34),0))),I36&amp;"Por favor no seleccionar los criterios de impacto",J23)</f>
        <v>0</v>
      </c>
      <c r="L23" s="204"/>
      <c r="M23" s="207"/>
      <c r="N23" s="198"/>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15"/>
        <v>0</v>
      </c>
      <c r="L26" s="204"/>
      <c r="M26" s="207"/>
      <c r="N26" s="198"/>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4"/>
      <c r="B27" s="193"/>
      <c r="C27" s="193"/>
      <c r="D27" s="193"/>
      <c r="E27" s="217"/>
      <c r="F27" s="193"/>
      <c r="G27" s="196"/>
      <c r="H27" s="205"/>
      <c r="I27" s="208"/>
      <c r="J27" s="211"/>
      <c r="K27" s="208">
        <f t="shared" ca="1" si="15"/>
        <v>0</v>
      </c>
      <c r="L27" s="205"/>
      <c r="M27" s="208"/>
      <c r="N27" s="199"/>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2">
        <v>4</v>
      </c>
      <c r="B28" s="191"/>
      <c r="C28" s="191"/>
      <c r="D28" s="191"/>
      <c r="E28" s="215"/>
      <c r="F28" s="191"/>
      <c r="G28" s="194"/>
      <c r="H28" s="203" t="str">
        <f>IF(G28&lt;=0,"",IF(G28&lt;=2,"Muy Baja",IF(G28&lt;=24,"Baja",IF(G28&lt;=500,"Media",IF(G28&lt;=5000,"Alta","Muy Alta")))))</f>
        <v/>
      </c>
      <c r="I28" s="206" t="str">
        <f>IF(H28="","",IF(H28="Muy Baja",0.2,IF(H28="Baja",0.4,IF(H28="Media",0.6,IF(H28="Alta",0.8,IF(H28="Muy Alta",1,))))))</f>
        <v/>
      </c>
      <c r="J28" s="209"/>
      <c r="K28" s="206">
        <f ca="1">IF(NOT(ISERROR(MATCH(J28,'Tabla Impacto'!$B$221:$B$223,0))),'Tabla Impacto'!$F$223&amp;"Por favor no seleccionar los criterios de impacto(Afectación Económica o presupuestal y Pérdida Reputacional)",J28)</f>
        <v>0</v>
      </c>
      <c r="L28" s="203" t="str">
        <f ca="1">IF(OR(K28='Tabla Impacto'!$C$11,K28='Tabla Impacto'!$D$11),"Leve",IF(OR(K28='Tabla Impacto'!$C$12,K28='Tabla Impacto'!$D$12),"Menor",IF(OR(K28='Tabla Impacto'!$C$13,K28='Tabla Impacto'!$D$13),"Moderado",IF(OR(K28='Tabla Impacto'!$C$14,K28='Tabla Impacto'!$D$14),"Mayor",IF(OR(K28='Tabla Impacto'!$C$15,K28='Tabla Impacto'!$D$15),"Catastrófico","")))))</f>
        <v/>
      </c>
      <c r="M28" s="206" t="str">
        <f ca="1">IF(L28="","",IF(L28="Leve",0.2,IF(L28="Menor",0.4,IF(L28="Moderado",0.6,IF(L28="Mayor",0.8,IF(L28="Catastrófico",1,))))))</f>
        <v/>
      </c>
      <c r="N28" s="19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ref="K29:K33" ca="1" si="23">IF(NOT(ISERROR(MATCH(J29,_xlfn.ANCHORARRAY(E40),0))),I42&amp;"Por favor no seleccionar los criterios de impacto",J29)</f>
        <v>0</v>
      </c>
      <c r="L29" s="204"/>
      <c r="M29" s="207"/>
      <c r="N29" s="198"/>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3"/>
        <v>0</v>
      </c>
      <c r="L32" s="204"/>
      <c r="M32" s="207"/>
      <c r="N32" s="198"/>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4"/>
      <c r="B33" s="193"/>
      <c r="C33" s="193"/>
      <c r="D33" s="193"/>
      <c r="E33" s="217"/>
      <c r="F33" s="193"/>
      <c r="G33" s="196"/>
      <c r="H33" s="205"/>
      <c r="I33" s="208"/>
      <c r="J33" s="211"/>
      <c r="K33" s="208">
        <f t="shared" ca="1" si="23"/>
        <v>0</v>
      </c>
      <c r="L33" s="205"/>
      <c r="M33" s="208"/>
      <c r="N33" s="199"/>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2">
        <v>5</v>
      </c>
      <c r="B34" s="191"/>
      <c r="C34" s="191"/>
      <c r="D34" s="191"/>
      <c r="E34" s="215"/>
      <c r="F34" s="191"/>
      <c r="G34" s="194"/>
      <c r="H34" s="203" t="str">
        <f>IF(G34&lt;=0,"",IF(G34&lt;=2,"Muy Baja",IF(G34&lt;=24,"Baja",IF(G34&lt;=500,"Media",IF(G34&lt;=5000,"Alta","Muy Alta")))))</f>
        <v/>
      </c>
      <c r="I34" s="206" t="str">
        <f>IF(H34="","",IF(H34="Muy Baja",0.2,IF(H34="Baja",0.4,IF(H34="Media",0.6,IF(H34="Alta",0.8,IF(H34="Muy Alta",1,))))))</f>
        <v/>
      </c>
      <c r="J34" s="209"/>
      <c r="K34" s="206">
        <f ca="1">IF(NOT(ISERROR(MATCH(J34,'Tabla Impacto'!$B$221:$B$223,0))),'Tabla Impacto'!$F$223&amp;"Por favor no seleccionar los criterios de impacto(Afectación Económica o presupuestal y Pérdida Reputacional)",J34)</f>
        <v>0</v>
      </c>
      <c r="L34" s="203" t="str">
        <f ca="1">IF(OR(K34='Tabla Impacto'!$C$11,K34='Tabla Impacto'!$D$11),"Leve",IF(OR(K34='Tabla Impacto'!$C$12,K34='Tabla Impacto'!$D$12),"Menor",IF(OR(K34='Tabla Impacto'!$C$13,K34='Tabla Impacto'!$D$13),"Moderado",IF(OR(K34='Tabla Impacto'!$C$14,K34='Tabla Impacto'!$D$14),"Mayor",IF(OR(K34='Tabla Impacto'!$C$15,K34='Tabla Impacto'!$D$15),"Catastrófico","")))))</f>
        <v/>
      </c>
      <c r="M34" s="206" t="str">
        <f ca="1">IF(L34="","",IF(L34="Leve",0.2,IF(L34="Menor",0.4,IF(L34="Moderado",0.6,IF(L34="Mayor",0.8,IF(L34="Catastrófico",1,))))))</f>
        <v/>
      </c>
      <c r="N34" s="19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ref="K35:K39" ca="1" si="31">IF(NOT(ISERROR(MATCH(J35,_xlfn.ANCHORARRAY(E46),0))),I48&amp;"Por favor no seleccionar los criterios de impacto",J35)</f>
        <v>0</v>
      </c>
      <c r="L35" s="204"/>
      <c r="M35" s="207"/>
      <c r="N35" s="198"/>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1"/>
        <v>0</v>
      </c>
      <c r="L38" s="204"/>
      <c r="M38" s="207"/>
      <c r="N38" s="198"/>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4"/>
      <c r="B39" s="193"/>
      <c r="C39" s="193"/>
      <c r="D39" s="193"/>
      <c r="E39" s="217"/>
      <c r="F39" s="193"/>
      <c r="G39" s="196"/>
      <c r="H39" s="205"/>
      <c r="I39" s="208"/>
      <c r="J39" s="211"/>
      <c r="K39" s="208">
        <f t="shared" ca="1" si="31"/>
        <v>0</v>
      </c>
      <c r="L39" s="205"/>
      <c r="M39" s="208"/>
      <c r="N39" s="199"/>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2">
        <v>6</v>
      </c>
      <c r="B40" s="191"/>
      <c r="C40" s="191"/>
      <c r="D40" s="191"/>
      <c r="E40" s="215"/>
      <c r="F40" s="191"/>
      <c r="G40" s="194"/>
      <c r="H40" s="203" t="str">
        <f>IF(G40&lt;=0,"",IF(G40&lt;=2,"Muy Baja",IF(G40&lt;=24,"Baja",IF(G40&lt;=500,"Media",IF(G40&lt;=5000,"Alta","Muy Alta")))))</f>
        <v/>
      </c>
      <c r="I40" s="206" t="str">
        <f>IF(H40="","",IF(H40="Muy Baja",0.2,IF(H40="Baja",0.4,IF(H40="Media",0.6,IF(H40="Alta",0.8,IF(H40="Muy Alta",1,))))))</f>
        <v/>
      </c>
      <c r="J40" s="209"/>
      <c r="K40" s="206">
        <f ca="1">IF(NOT(ISERROR(MATCH(J40,'Tabla Impacto'!$B$221:$B$223,0))),'Tabla Impacto'!$F$223&amp;"Por favor no seleccionar los criterios de impacto(Afectación Económica o presupuestal y Pérdida Reputacional)",J40)</f>
        <v>0</v>
      </c>
      <c r="L40" s="203" t="str">
        <f ca="1">IF(OR(K40='Tabla Impacto'!$C$11,K40='Tabla Impacto'!$D$11),"Leve",IF(OR(K40='Tabla Impacto'!$C$12,K40='Tabla Impacto'!$D$12),"Menor",IF(OR(K40='Tabla Impacto'!$C$13,K40='Tabla Impacto'!$D$13),"Moderado",IF(OR(K40='Tabla Impacto'!$C$14,K40='Tabla Impacto'!$D$14),"Mayor",IF(OR(K40='Tabla Impacto'!$C$15,K40='Tabla Impacto'!$D$15),"Catastrófico","")))))</f>
        <v/>
      </c>
      <c r="M40" s="206" t="str">
        <f ca="1">IF(L40="","",IF(L40="Leve",0.2,IF(L40="Menor",0.4,IF(L40="Moderado",0.6,IF(L40="Mayor",0.8,IF(L40="Catastrófico",1,))))))</f>
        <v/>
      </c>
      <c r="N40" s="19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ref="K41:K45" ca="1" si="39">IF(NOT(ISERROR(MATCH(J41,_xlfn.ANCHORARRAY(E52),0))),I54&amp;"Por favor no seleccionar los criterios de impacto",J41)</f>
        <v>0</v>
      </c>
      <c r="L41" s="204"/>
      <c r="M41" s="207"/>
      <c r="N41" s="198"/>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39"/>
        <v>0</v>
      </c>
      <c r="L44" s="204"/>
      <c r="M44" s="207"/>
      <c r="N44" s="198"/>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4"/>
      <c r="B45" s="193"/>
      <c r="C45" s="193"/>
      <c r="D45" s="193"/>
      <c r="E45" s="217"/>
      <c r="F45" s="193"/>
      <c r="G45" s="196"/>
      <c r="H45" s="205"/>
      <c r="I45" s="208"/>
      <c r="J45" s="211"/>
      <c r="K45" s="208">
        <f t="shared" ca="1" si="39"/>
        <v>0</v>
      </c>
      <c r="L45" s="205"/>
      <c r="M45" s="208"/>
      <c r="N45" s="199"/>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2">
        <v>7</v>
      </c>
      <c r="B46" s="191"/>
      <c r="C46" s="191"/>
      <c r="D46" s="191"/>
      <c r="E46" s="215"/>
      <c r="F46" s="191"/>
      <c r="G46" s="194"/>
      <c r="H46" s="203" t="str">
        <f>IF(G46&lt;=0,"",IF(G46&lt;=2,"Muy Baja",IF(G46&lt;=24,"Baja",IF(G46&lt;=500,"Media",IF(G46&lt;=5000,"Alta","Muy Alta")))))</f>
        <v/>
      </c>
      <c r="I46" s="206" t="str">
        <f>IF(H46="","",IF(H46="Muy Baja",0.2,IF(H46="Baja",0.4,IF(H46="Media",0.6,IF(H46="Alta",0.8,IF(H46="Muy Alta",1,))))))</f>
        <v/>
      </c>
      <c r="J46" s="209"/>
      <c r="K46" s="206">
        <f ca="1">IF(NOT(ISERROR(MATCH(J46,'Tabla Impacto'!$B$221:$B$223,0))),'Tabla Impacto'!$F$223&amp;"Por favor no seleccionar los criterios de impacto(Afectación Económica o presupuestal y Pérdida Reputacional)",J46)</f>
        <v>0</v>
      </c>
      <c r="L46" s="203" t="str">
        <f ca="1">IF(OR(K46='Tabla Impacto'!$C$11,K46='Tabla Impacto'!$D$11),"Leve",IF(OR(K46='Tabla Impacto'!$C$12,K46='Tabla Impacto'!$D$12),"Menor",IF(OR(K46='Tabla Impacto'!$C$13,K46='Tabla Impacto'!$D$13),"Moderado",IF(OR(K46='Tabla Impacto'!$C$14,K46='Tabla Impacto'!$D$14),"Mayor",IF(OR(K46='Tabla Impacto'!$C$15,K46='Tabla Impacto'!$D$15),"Catastrófico","")))))</f>
        <v/>
      </c>
      <c r="M46" s="206" t="str">
        <f ca="1">IF(L46="","",IF(L46="Leve",0.2,IF(L46="Menor",0.4,IF(L46="Moderado",0.6,IF(L46="Mayor",0.8,IF(L46="Catastrófico",1,))))))</f>
        <v/>
      </c>
      <c r="N46" s="19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ref="K47:K51" ca="1" si="47">IF(NOT(ISERROR(MATCH(J47,_xlfn.ANCHORARRAY(E58),0))),I60&amp;"Por favor no seleccionar los criterios de impacto",J47)</f>
        <v>0</v>
      </c>
      <c r="L47" s="204"/>
      <c r="M47" s="207"/>
      <c r="N47" s="198"/>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t="shared" ca="1" si="47"/>
        <v>0</v>
      </c>
      <c r="L50" s="204"/>
      <c r="M50" s="207"/>
      <c r="N50" s="198"/>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4"/>
      <c r="B51" s="193"/>
      <c r="C51" s="193"/>
      <c r="D51" s="193"/>
      <c r="E51" s="217"/>
      <c r="F51" s="193"/>
      <c r="G51" s="196"/>
      <c r="H51" s="205"/>
      <c r="I51" s="208"/>
      <c r="J51" s="211"/>
      <c r="K51" s="208">
        <f t="shared" ca="1" si="47"/>
        <v>0</v>
      </c>
      <c r="L51" s="205"/>
      <c r="M51" s="208"/>
      <c r="N51" s="199"/>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2">
        <v>8</v>
      </c>
      <c r="B52" s="191"/>
      <c r="C52" s="191"/>
      <c r="D52" s="191"/>
      <c r="E52" s="215"/>
      <c r="F52" s="191"/>
      <c r="G52" s="194"/>
      <c r="H52" s="203" t="str">
        <f>IF(G52&lt;=0,"",IF(G52&lt;=2,"Muy Baja",IF(G52&lt;=24,"Baja",IF(G52&lt;=500,"Media",IF(G52&lt;=5000,"Alta","Muy Alta")))))</f>
        <v/>
      </c>
      <c r="I52" s="206" t="str">
        <f>IF(H52="","",IF(H52="Muy Baja",0.2,IF(H52="Baja",0.4,IF(H52="Media",0.6,IF(H52="Alta",0.8,IF(H52="Muy Alta",1,))))))</f>
        <v/>
      </c>
      <c r="J52" s="209"/>
      <c r="K52" s="206">
        <f ca="1">IF(NOT(ISERROR(MATCH(J52,'Tabla Impacto'!$B$221:$B$223,0))),'Tabla Impacto'!$F$223&amp;"Por favor no seleccionar los criterios de impacto(Afectación Económica o presupuestal y Pérdida Reputacional)",J52)</f>
        <v>0</v>
      </c>
      <c r="L52" s="203" t="str">
        <f ca="1">IF(OR(K52='Tabla Impacto'!$C$11,K52='Tabla Impacto'!$D$11),"Leve",IF(OR(K52='Tabla Impacto'!$C$12,K52='Tabla Impacto'!$D$12),"Menor",IF(OR(K52='Tabla Impacto'!$C$13,K52='Tabla Impacto'!$D$13),"Moderado",IF(OR(K52='Tabla Impacto'!$C$14,K52='Tabla Impacto'!$D$14),"Mayor",IF(OR(K52='Tabla Impacto'!$C$15,K52='Tabla Impacto'!$D$15),"Catastrófico","")))))</f>
        <v/>
      </c>
      <c r="M52" s="206" t="str">
        <f ca="1">IF(L52="","",IF(L52="Leve",0.2,IF(L52="Menor",0.4,IF(L52="Moderado",0.6,IF(L52="Mayor",0.8,IF(L52="Catastrófico",1,))))))</f>
        <v/>
      </c>
      <c r="N52" s="19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4"/>
      <c r="B57" s="193"/>
      <c r="C57" s="193"/>
      <c r="D57" s="193"/>
      <c r="E57" s="217"/>
      <c r="F57" s="193"/>
      <c r="G57" s="196"/>
      <c r="H57" s="205"/>
      <c r="I57" s="208"/>
      <c r="J57" s="211"/>
      <c r="K57" s="208">
        <f ca="1">IF(NOT(ISERROR(MATCH(J57,_xlfn.ANCHORARRAY(E68),0))),I70&amp;"Por favor no seleccionar los criterios de impacto",J57)</f>
        <v>0</v>
      </c>
      <c r="L57" s="205"/>
      <c r="M57" s="208"/>
      <c r="N57" s="199"/>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2">
        <v>9</v>
      </c>
      <c r="B58" s="191"/>
      <c r="C58" s="191"/>
      <c r="D58" s="191"/>
      <c r="E58" s="215"/>
      <c r="F58" s="191"/>
      <c r="G58" s="194"/>
      <c r="H58" s="203" t="str">
        <f>IF(G58&lt;=0,"",IF(G58&lt;=2,"Muy Baja",IF(G58&lt;=24,"Baja",IF(G58&lt;=500,"Media",IF(G58&lt;=5000,"Alta","Muy Alta")))))</f>
        <v/>
      </c>
      <c r="I58" s="206" t="str">
        <f>IF(H58="","",IF(H58="Muy Baja",0.2,IF(H58="Baja",0.4,IF(H58="Media",0.6,IF(H58="Alta",0.8,IF(H58="Muy Alta",1,))))))</f>
        <v/>
      </c>
      <c r="J58" s="209"/>
      <c r="K58" s="206">
        <f ca="1">IF(NOT(ISERROR(MATCH(J58,'Tabla Impacto'!$B$221:$B$223,0))),'Tabla Impacto'!$F$223&amp;"Por favor no seleccionar los criterios de impacto(Afectación Económica o presupuestal y Pérdida Reputacional)",J58)</f>
        <v>0</v>
      </c>
      <c r="L58" s="203" t="str">
        <f ca="1">IF(OR(K58='Tabla Impacto'!$C$11,K58='Tabla Impacto'!$D$11),"Leve",IF(OR(K58='Tabla Impacto'!$C$12,K58='Tabla Impacto'!$D$12),"Menor",IF(OR(K58='Tabla Impacto'!$C$13,K58='Tabla Impacto'!$D$13),"Moderado",IF(OR(K58='Tabla Impacto'!$C$14,K58='Tabla Impacto'!$D$14),"Mayor",IF(OR(K58='Tabla Impacto'!$C$15,K58='Tabla Impacto'!$D$15),"Catastrófico","")))))</f>
        <v/>
      </c>
      <c r="M58" s="206" t="str">
        <f ca="1">IF(L58="","",IF(L58="Leve",0.2,IF(L58="Menor",0.4,IF(L58="Moderado",0.6,IF(L58="Mayor",0.8,IF(L58="Catastrófico",1,))))))</f>
        <v/>
      </c>
      <c r="N58" s="19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4"/>
      <c r="B63" s="193"/>
      <c r="C63" s="193"/>
      <c r="D63" s="193"/>
      <c r="E63" s="217"/>
      <c r="F63" s="193"/>
      <c r="G63" s="196"/>
      <c r="H63" s="205"/>
      <c r="I63" s="208"/>
      <c r="J63" s="211"/>
      <c r="K63" s="208">
        <f ca="1">IF(NOT(ISERROR(MATCH(J63,_xlfn.ANCHORARRAY(E74),0))),I76&amp;"Por favor no seleccionar los criterios de impacto",J63)</f>
        <v>0</v>
      </c>
      <c r="L63" s="205"/>
      <c r="M63" s="208"/>
      <c r="N63" s="199"/>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2">
        <v>10</v>
      </c>
      <c r="B64" s="191"/>
      <c r="C64" s="191"/>
      <c r="D64" s="191"/>
      <c r="E64" s="215"/>
      <c r="F64" s="191"/>
      <c r="G64" s="194"/>
      <c r="H64" s="203" t="str">
        <f>IF(G64&lt;=0,"",IF(G64&lt;=2,"Muy Baja",IF(G64&lt;=24,"Baja",IF(G64&lt;=500,"Media",IF(G64&lt;=5000,"Alta","Muy Alta")))))</f>
        <v/>
      </c>
      <c r="I64" s="206" t="str">
        <f>IF(H64="","",IF(H64="Muy Baja",0.2,IF(H64="Baja",0.4,IF(H64="Media",0.6,IF(H64="Alta",0.8,IF(H64="Muy Alta",1,))))))</f>
        <v/>
      </c>
      <c r="J64" s="209"/>
      <c r="K64" s="206">
        <f ca="1">IF(NOT(ISERROR(MATCH(J64,'Tabla Impacto'!$B$221:$B$223,0))),'Tabla Impacto'!$F$223&amp;"Por favor no seleccionar los criterios de impacto(Afectación Económica o presupuestal y Pérdida Reputacional)",J64)</f>
        <v>0</v>
      </c>
      <c r="L64" s="203" t="str">
        <f ca="1">IF(OR(K64='Tabla Impacto'!$C$11,K64='Tabla Impacto'!$D$11),"Leve",IF(OR(K64='Tabla Impacto'!$C$12,K64='Tabla Impacto'!$D$12),"Menor",IF(OR(K64='Tabla Impacto'!$C$13,K64='Tabla Impacto'!$D$13),"Moderado",IF(OR(K64='Tabla Impacto'!$C$14,K64='Tabla Impacto'!$D$14),"Mayor",IF(OR(K64='Tabla Impacto'!$C$15,K64='Tabla Impacto'!$D$15),"Catastrófico","")))))</f>
        <v/>
      </c>
      <c r="M64" s="206" t="str">
        <f ca="1">IF(L64="","",IF(L64="Leve",0.2,IF(L64="Menor",0.4,IF(L64="Moderado",0.6,IF(L64="Mayor",0.8,IF(L64="Catastrófico",1,))))))</f>
        <v/>
      </c>
      <c r="N64" s="19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3"/>
      <c r="B68" s="192"/>
      <c r="C68" s="192"/>
      <c r="D68" s="192"/>
      <c r="E68" s="216"/>
      <c r="F68" s="192"/>
      <c r="G68" s="195"/>
      <c r="H68" s="204"/>
      <c r="I68" s="207"/>
      <c r="J68" s="210"/>
      <c r="K68" s="207">
        <f ca="1">IF(NOT(ISERROR(MATCH(J68,_xlfn.ANCHORARRAY(E79),0))),I81&amp;"Por favor no seleccionar los criterios de impacto",J68)</f>
        <v>0</v>
      </c>
      <c r="L68" s="204"/>
      <c r="M68" s="207"/>
      <c r="N68" s="198"/>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4"/>
      <c r="B69" s="193"/>
      <c r="C69" s="193"/>
      <c r="D69" s="193"/>
      <c r="E69" s="217"/>
      <c r="F69" s="193"/>
      <c r="G69" s="196"/>
      <c r="H69" s="205"/>
      <c r="I69" s="208"/>
      <c r="J69" s="211"/>
      <c r="K69" s="208">
        <f ca="1">IF(NOT(ISERROR(MATCH(J69,_xlfn.ANCHORARRAY(E80),0))),I82&amp;"Por favor no seleccionar los criterios de impacto",J69)</f>
        <v>0</v>
      </c>
      <c r="L69" s="205"/>
      <c r="M69" s="208"/>
      <c r="N69" s="199"/>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00" t="s">
        <v>131</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2"/>
    </row>
    <row r="72" spans="1:36" x14ac:dyDescent="0.3">
      <c r="A72" s="1"/>
      <c r="B72" s="24" t="s">
        <v>143</v>
      </c>
      <c r="C72" s="1"/>
      <c r="D72" s="1"/>
      <c r="F72" s="1"/>
    </row>
  </sheetData>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423" priority="101" operator="equal">
      <formula>"Muy Alta"</formula>
    </cfRule>
    <cfRule type="cellIs" dxfId="422" priority="102" operator="equal">
      <formula>"Alta"</formula>
    </cfRule>
    <cfRule type="cellIs" dxfId="421" priority="103" operator="equal">
      <formula>"Media"</formula>
    </cfRule>
    <cfRule type="cellIs" dxfId="420" priority="104" operator="equal">
      <formula>"Baja"</formula>
    </cfRule>
    <cfRule type="cellIs" dxfId="419" priority="105" operator="equal">
      <formula>"Muy Baja"</formula>
    </cfRule>
  </conditionalFormatting>
  <conditionalFormatting sqref="H22">
    <cfRule type="cellIs" dxfId="418" priority="83" operator="equal">
      <formula>"Muy Alta"</formula>
    </cfRule>
    <cfRule type="cellIs" dxfId="417" priority="84" operator="equal">
      <formula>"Alta"</formula>
    </cfRule>
    <cfRule type="cellIs" dxfId="416" priority="85" operator="equal">
      <formula>"Media"</formula>
    </cfRule>
    <cfRule type="cellIs" dxfId="415" priority="86" operator="equal">
      <formula>"Baja"</formula>
    </cfRule>
    <cfRule type="cellIs" dxfId="414" priority="87" operator="equal">
      <formula>"Muy Baja"</formula>
    </cfRule>
  </conditionalFormatting>
  <conditionalFormatting sqref="H28">
    <cfRule type="cellIs" dxfId="413" priority="74" operator="equal">
      <formula>"Muy Alta"</formula>
    </cfRule>
    <cfRule type="cellIs" dxfId="412" priority="75" operator="equal">
      <formula>"Alta"</formula>
    </cfRule>
    <cfRule type="cellIs" dxfId="411" priority="76" operator="equal">
      <formula>"Media"</formula>
    </cfRule>
    <cfRule type="cellIs" dxfId="410" priority="77" operator="equal">
      <formula>"Baja"</formula>
    </cfRule>
    <cfRule type="cellIs" dxfId="409" priority="78" operator="equal">
      <formula>"Muy Baja"</formula>
    </cfRule>
  </conditionalFormatting>
  <conditionalFormatting sqref="H34">
    <cfRule type="cellIs" dxfId="408" priority="65" operator="equal">
      <formula>"Muy Alta"</formula>
    </cfRule>
    <cfRule type="cellIs" dxfId="407" priority="66" operator="equal">
      <formula>"Alta"</formula>
    </cfRule>
    <cfRule type="cellIs" dxfId="406" priority="67" operator="equal">
      <formula>"Media"</formula>
    </cfRule>
    <cfRule type="cellIs" dxfId="405" priority="68" operator="equal">
      <formula>"Baja"</formula>
    </cfRule>
    <cfRule type="cellIs" dxfId="404" priority="69" operator="equal">
      <formula>"Muy Baja"</formula>
    </cfRule>
  </conditionalFormatting>
  <conditionalFormatting sqref="H40">
    <cfRule type="cellIs" dxfId="403" priority="56" operator="equal">
      <formula>"Muy Alta"</formula>
    </cfRule>
    <cfRule type="cellIs" dxfId="402" priority="57" operator="equal">
      <formula>"Alta"</formula>
    </cfRule>
    <cfRule type="cellIs" dxfId="401" priority="58" operator="equal">
      <formula>"Media"</formula>
    </cfRule>
    <cfRule type="cellIs" dxfId="400" priority="59" operator="equal">
      <formula>"Baja"</formula>
    </cfRule>
    <cfRule type="cellIs" dxfId="399" priority="60" operator="equal">
      <formula>"Muy Baja"</formula>
    </cfRule>
  </conditionalFormatting>
  <conditionalFormatting sqref="H46">
    <cfRule type="cellIs" dxfId="398" priority="47" operator="equal">
      <formula>"Muy Alta"</formula>
    </cfRule>
    <cfRule type="cellIs" dxfId="397" priority="48" operator="equal">
      <formula>"Alta"</formula>
    </cfRule>
    <cfRule type="cellIs" dxfId="396" priority="49" operator="equal">
      <formula>"Media"</formula>
    </cfRule>
    <cfRule type="cellIs" dxfId="395" priority="50" operator="equal">
      <formula>"Baja"</formula>
    </cfRule>
    <cfRule type="cellIs" dxfId="394" priority="51" operator="equal">
      <formula>"Muy Baja"</formula>
    </cfRule>
  </conditionalFormatting>
  <conditionalFormatting sqref="H52">
    <cfRule type="cellIs" dxfId="393" priority="38" operator="equal">
      <formula>"Muy Alta"</formula>
    </cfRule>
    <cfRule type="cellIs" dxfId="392" priority="39" operator="equal">
      <formula>"Alta"</formula>
    </cfRule>
    <cfRule type="cellIs" dxfId="391" priority="40" operator="equal">
      <formula>"Media"</formula>
    </cfRule>
    <cfRule type="cellIs" dxfId="390" priority="41" operator="equal">
      <formula>"Baja"</formula>
    </cfRule>
    <cfRule type="cellIs" dxfId="389" priority="42" operator="equal">
      <formula>"Muy Baja"</formula>
    </cfRule>
  </conditionalFormatting>
  <conditionalFormatting sqref="H58">
    <cfRule type="cellIs" dxfId="388" priority="29" operator="equal">
      <formula>"Muy Alta"</formula>
    </cfRule>
    <cfRule type="cellIs" dxfId="387" priority="30" operator="equal">
      <formula>"Alta"</formula>
    </cfRule>
    <cfRule type="cellIs" dxfId="386" priority="31" operator="equal">
      <formula>"Media"</formula>
    </cfRule>
    <cfRule type="cellIs" dxfId="385" priority="32" operator="equal">
      <formula>"Baja"</formula>
    </cfRule>
    <cfRule type="cellIs" dxfId="384" priority="33" operator="equal">
      <formula>"Muy Baja"</formula>
    </cfRule>
  </conditionalFormatting>
  <conditionalFormatting sqref="H64">
    <cfRule type="cellIs" dxfId="383" priority="20" operator="equal">
      <formula>"Muy Alta"</formula>
    </cfRule>
    <cfRule type="cellIs" dxfId="382" priority="21" operator="equal">
      <formula>"Alta"</formula>
    </cfRule>
    <cfRule type="cellIs" dxfId="381" priority="22" operator="equal">
      <formula>"Media"</formula>
    </cfRule>
    <cfRule type="cellIs" dxfId="380" priority="23" operator="equal">
      <formula>"Baja"</formula>
    </cfRule>
    <cfRule type="cellIs" dxfId="379" priority="24" operator="equal">
      <formula>"Muy Baja"</formula>
    </cfRule>
  </conditionalFormatting>
  <conditionalFormatting sqref="K10:K69">
    <cfRule type="containsText" dxfId="378" priority="1" operator="containsText" text="❌">
      <formula>NOT(ISERROR(SEARCH("❌",K10)))</formula>
    </cfRule>
  </conditionalFormatting>
  <conditionalFormatting sqref="L10 L16 L22 L28 L34 L40 L46 L52 L58 L64">
    <cfRule type="cellIs" dxfId="377" priority="96" operator="equal">
      <formula>"Catastrófico"</formula>
    </cfRule>
    <cfRule type="cellIs" dxfId="376" priority="97" operator="equal">
      <formula>"Mayor"</formula>
    </cfRule>
    <cfRule type="cellIs" dxfId="375" priority="98" operator="equal">
      <formula>"Moderado"</formula>
    </cfRule>
    <cfRule type="cellIs" dxfId="374" priority="99" operator="equal">
      <formula>"Menor"</formula>
    </cfRule>
    <cfRule type="cellIs" dxfId="373" priority="100" operator="equal">
      <formula>"Leve"</formula>
    </cfRule>
  </conditionalFormatting>
  <conditionalFormatting sqref="N10">
    <cfRule type="cellIs" dxfId="372" priority="92" operator="equal">
      <formula>"Extremo"</formula>
    </cfRule>
    <cfRule type="cellIs" dxfId="371" priority="93" operator="equal">
      <formula>"Alto"</formula>
    </cfRule>
    <cfRule type="cellIs" dxfId="370" priority="94" operator="equal">
      <formula>"Moderado"</formula>
    </cfRule>
    <cfRule type="cellIs" dxfId="369" priority="95" operator="equal">
      <formula>"Bajo"</formula>
    </cfRule>
  </conditionalFormatting>
  <conditionalFormatting sqref="N16">
    <cfRule type="cellIs" dxfId="368" priority="88" operator="equal">
      <formula>"Extremo"</formula>
    </cfRule>
    <cfRule type="cellIs" dxfId="367" priority="89" operator="equal">
      <formula>"Alto"</formula>
    </cfRule>
    <cfRule type="cellIs" dxfId="366" priority="90" operator="equal">
      <formula>"Moderado"</formula>
    </cfRule>
    <cfRule type="cellIs" dxfId="365" priority="91" operator="equal">
      <formula>"Bajo"</formula>
    </cfRule>
  </conditionalFormatting>
  <conditionalFormatting sqref="N22">
    <cfRule type="cellIs" dxfId="364" priority="79" operator="equal">
      <formula>"Extremo"</formula>
    </cfRule>
    <cfRule type="cellIs" dxfId="363" priority="80" operator="equal">
      <formula>"Alto"</formula>
    </cfRule>
    <cfRule type="cellIs" dxfId="362" priority="81" operator="equal">
      <formula>"Moderado"</formula>
    </cfRule>
    <cfRule type="cellIs" dxfId="361" priority="82" operator="equal">
      <formula>"Bajo"</formula>
    </cfRule>
  </conditionalFormatting>
  <conditionalFormatting sqref="N28">
    <cfRule type="cellIs" dxfId="360" priority="70" operator="equal">
      <formula>"Extremo"</formula>
    </cfRule>
    <cfRule type="cellIs" dxfId="359" priority="71" operator="equal">
      <formula>"Alto"</formula>
    </cfRule>
    <cfRule type="cellIs" dxfId="358" priority="72" operator="equal">
      <formula>"Moderado"</formula>
    </cfRule>
    <cfRule type="cellIs" dxfId="357" priority="73" operator="equal">
      <formula>"Bajo"</formula>
    </cfRule>
  </conditionalFormatting>
  <conditionalFormatting sqref="N34">
    <cfRule type="cellIs" dxfId="356" priority="61" operator="equal">
      <formula>"Extremo"</formula>
    </cfRule>
    <cfRule type="cellIs" dxfId="355" priority="62" operator="equal">
      <formula>"Alto"</formula>
    </cfRule>
    <cfRule type="cellIs" dxfId="354" priority="63" operator="equal">
      <formula>"Moderado"</formula>
    </cfRule>
    <cfRule type="cellIs" dxfId="353" priority="64" operator="equal">
      <formula>"Bajo"</formula>
    </cfRule>
  </conditionalFormatting>
  <conditionalFormatting sqref="N40">
    <cfRule type="cellIs" dxfId="352" priority="52" operator="equal">
      <formula>"Extremo"</formula>
    </cfRule>
    <cfRule type="cellIs" dxfId="351" priority="53" operator="equal">
      <formula>"Alto"</formula>
    </cfRule>
    <cfRule type="cellIs" dxfId="350" priority="54" operator="equal">
      <formula>"Moderado"</formula>
    </cfRule>
    <cfRule type="cellIs" dxfId="349" priority="55" operator="equal">
      <formula>"Bajo"</formula>
    </cfRule>
  </conditionalFormatting>
  <conditionalFormatting sqref="N46">
    <cfRule type="cellIs" dxfId="348" priority="43" operator="equal">
      <formula>"Extremo"</formula>
    </cfRule>
    <cfRule type="cellIs" dxfId="347" priority="44" operator="equal">
      <formula>"Alto"</formula>
    </cfRule>
    <cfRule type="cellIs" dxfId="346" priority="45" operator="equal">
      <formula>"Moderado"</formula>
    </cfRule>
    <cfRule type="cellIs" dxfId="345" priority="46" operator="equal">
      <formula>"Bajo"</formula>
    </cfRule>
  </conditionalFormatting>
  <conditionalFormatting sqref="N52">
    <cfRule type="cellIs" dxfId="344" priority="34" operator="equal">
      <formula>"Extremo"</formula>
    </cfRule>
    <cfRule type="cellIs" dxfId="343" priority="35" operator="equal">
      <formula>"Alto"</formula>
    </cfRule>
    <cfRule type="cellIs" dxfId="342" priority="36" operator="equal">
      <formula>"Moderado"</formula>
    </cfRule>
    <cfRule type="cellIs" dxfId="341" priority="37" operator="equal">
      <formula>"Bajo"</formula>
    </cfRule>
  </conditionalFormatting>
  <conditionalFormatting sqref="N58">
    <cfRule type="cellIs" dxfId="340" priority="25" operator="equal">
      <formula>"Extremo"</formula>
    </cfRule>
    <cfRule type="cellIs" dxfId="339" priority="26" operator="equal">
      <formula>"Alto"</formula>
    </cfRule>
    <cfRule type="cellIs" dxfId="338" priority="27" operator="equal">
      <formula>"Moderado"</formula>
    </cfRule>
    <cfRule type="cellIs" dxfId="337" priority="28" operator="equal">
      <formula>"Bajo"</formula>
    </cfRule>
  </conditionalFormatting>
  <conditionalFormatting sqref="N64">
    <cfRule type="cellIs" dxfId="336" priority="16" operator="equal">
      <formula>"Extremo"</formula>
    </cfRule>
    <cfRule type="cellIs" dxfId="335" priority="17" operator="equal">
      <formula>"Alto"</formula>
    </cfRule>
    <cfRule type="cellIs" dxfId="334" priority="18" operator="equal">
      <formula>"Moderado"</formula>
    </cfRule>
    <cfRule type="cellIs" dxfId="333" priority="19" operator="equal">
      <formula>"Bajo"</formula>
    </cfRule>
  </conditionalFormatting>
  <conditionalFormatting sqref="Y10:Y69">
    <cfRule type="cellIs" dxfId="332" priority="11" operator="equal">
      <formula>"Muy Alta"</formula>
    </cfRule>
    <cfRule type="cellIs" dxfId="331" priority="12" operator="equal">
      <formula>"Alta"</formula>
    </cfRule>
    <cfRule type="cellIs" dxfId="330" priority="13" operator="equal">
      <formula>"Media"</formula>
    </cfRule>
    <cfRule type="cellIs" dxfId="329" priority="14" operator="equal">
      <formula>"Baja"</formula>
    </cfRule>
    <cfRule type="cellIs" dxfId="328" priority="15" operator="equal">
      <formula>"Muy Baja"</formula>
    </cfRule>
  </conditionalFormatting>
  <conditionalFormatting sqref="AA10:AA69">
    <cfRule type="cellIs" dxfId="327" priority="6" operator="equal">
      <formula>"Catastrófico"</formula>
    </cfRule>
    <cfRule type="cellIs" dxfId="326" priority="7" operator="equal">
      <formula>"Mayor"</formula>
    </cfRule>
    <cfRule type="cellIs" dxfId="325" priority="8" operator="equal">
      <formula>"Moderado"</formula>
    </cfRule>
    <cfRule type="cellIs" dxfId="324" priority="9" operator="equal">
      <formula>"Menor"</formula>
    </cfRule>
    <cfRule type="cellIs" dxfId="323" priority="10" operator="equal">
      <formula>"Leve"</formula>
    </cfRule>
  </conditionalFormatting>
  <conditionalFormatting sqref="AC10:AC69">
    <cfRule type="cellIs" dxfId="322" priority="2" operator="equal">
      <formula>"Extremo"</formula>
    </cfRule>
    <cfRule type="cellIs" dxfId="321" priority="3" operator="equal">
      <formula>"Alto"</formula>
    </cfRule>
    <cfRule type="cellIs" dxfId="320" priority="4" operator="equal">
      <formula>"Moderado"</formula>
    </cfRule>
    <cfRule type="cellIs" dxfId="319"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62849F45-D2A6-4808-8FB6-DB7BE0990939}">
          <x14:formula1>
            <xm:f>'Tabla Valoración controles'!$D$4:$D$6</xm:f>
          </x14:formula1>
          <xm:sqref>R10:R69</xm:sqref>
        </x14:dataValidation>
        <x14:dataValidation type="list" allowBlank="1" showInputMessage="1" showErrorMessage="1" xr:uid="{920A57C8-881D-468C-8F1A-E308F0858D2B}">
          <x14:formula1>
            <xm:f>'Tabla Valoración controles'!$D$7:$D$8</xm:f>
          </x14:formula1>
          <xm:sqref>S10:S69</xm:sqref>
        </x14:dataValidation>
        <x14:dataValidation type="list" allowBlank="1" showInputMessage="1" showErrorMessage="1" xr:uid="{E5221E78-BCBB-426F-8BBF-1C998953D76E}">
          <x14:formula1>
            <xm:f>'Tabla Valoración controles'!$D$9:$D$10</xm:f>
          </x14:formula1>
          <xm:sqref>U10:U69</xm:sqref>
        </x14:dataValidation>
        <x14:dataValidation type="list" allowBlank="1" showInputMessage="1" showErrorMessage="1" xr:uid="{1F3E2E97-8B97-431F-A2DC-B4CD1D5F23D5}">
          <x14:formula1>
            <xm:f>'Tabla Valoración controles'!$D$11:$D$12</xm:f>
          </x14:formula1>
          <xm:sqref>V10:V69</xm:sqref>
        </x14:dataValidation>
        <x14:dataValidation type="list" allowBlank="1" showInputMessage="1" showErrorMessage="1" xr:uid="{911BA31C-70CA-4B2E-B559-FDD9443C1F9C}">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C589597D-EC2D-4791-8B38-F58396DB54BE}">
          <x14:formula1>
            <xm:f>'Tabla Valoración controles'!$D$13:$D$14</xm:f>
          </x14:formula1>
          <xm:sqref>W10:W69</xm:sqref>
        </x14:dataValidation>
        <x14:dataValidation type="list" allowBlank="1" showInputMessage="1" showErrorMessage="1" xr:uid="{71789BA1-1D90-44A9-9E6E-614318FF48EF}">
          <x14:formula1>
            <xm:f>'Opciones Tratamiento'!$B$13:$B$19</xm:f>
          </x14:formula1>
          <xm:sqref>F10:F69</xm:sqref>
        </x14:dataValidation>
        <x14:dataValidation type="list" allowBlank="1" showInputMessage="1" showErrorMessage="1" xr:uid="{CF9D3478-2DBA-45B0-AF70-ACA4B89B695E}">
          <x14:formula1>
            <xm:f>'Opciones Tratamiento'!$E$2:$E$4</xm:f>
          </x14:formula1>
          <xm:sqref>B10:B69</xm:sqref>
        </x14:dataValidation>
        <x14:dataValidation type="list" allowBlank="1" showInputMessage="1" showErrorMessage="1" xr:uid="{7894AEEF-2820-46C0-8290-92053B22EF99}">
          <x14:formula1>
            <xm:f>'Opciones Tratamiento'!$B$2:$B$5</xm:f>
          </x14:formula1>
          <xm:sqref>AD10:AD69</xm:sqref>
        </x14:dataValidation>
        <x14:dataValidation type="list" allowBlank="1" showInputMessage="1" showErrorMessage="1" xr:uid="{FFE0FC4D-80FE-46A9-9019-D80DB82A3204}">
          <x14:formula1>
            <xm:f>'Tabla Impacto'!$F$210:$F$221</xm:f>
          </x14:formula1>
          <xm:sqref>J10:J69</xm:sqref>
        </x14:dataValidation>
        <x14:dataValidation type="custom" allowBlank="1" showInputMessage="1" showErrorMessage="1" error="Recuerde que las acciones se generan bajo la medida de mitigar el riesgo" xr:uid="{405653FA-B46B-4C28-AA0D-89EAE8CA7948}">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A940339D-53C4-4665-A860-EA243F8A0F13}">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CC79472F-06E8-485F-A940-25553E9757B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38F905CA-E6B5-4F35-9C3A-58BE1E71412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5BCF69F8-F014-4D43-B8EE-8CA2DE93A563}">
          <x14:formula1>
            <xm:f>IF(OR(AD10='Opciones Tratamiento'!$B$2,AD10='Opciones Tratamiento'!$B$3,AD10='Opciones Tratamiento'!$B$4),ISBLANK(AD10),ISTEXT(AD10))</xm:f>
          </x14:formula1>
          <xm:sqref>AI10:AI69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7F72C-E627-47DC-9549-BD98FDF43ADA}">
  <sheetPr>
    <tabColor rgb="FF7030A0"/>
  </sheetPr>
  <dimension ref="A1:BP72"/>
  <sheetViews>
    <sheetView topLeftCell="P8" zoomScale="68" zoomScaleNormal="68" workbookViewId="0">
      <selection activeCell="AC11" sqref="AC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357</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356</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358</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132</v>
      </c>
      <c r="C10" s="191" t="s">
        <v>312</v>
      </c>
      <c r="D10" s="191" t="s">
        <v>313</v>
      </c>
      <c r="E10" s="215" t="s">
        <v>311</v>
      </c>
      <c r="F10" s="191" t="s">
        <v>128</v>
      </c>
      <c r="G10" s="194">
        <v>365</v>
      </c>
      <c r="H10" s="203" t="str">
        <f>IF(G10&lt;=0,"",IF(G10&lt;=2,"Muy Baja",IF(G10&lt;=24,"Baja",IF(G10&lt;=500,"Media",IF(G10&lt;=5000,"Alta","Muy Alta")))))</f>
        <v>Media</v>
      </c>
      <c r="I10" s="206">
        <f>IF(H10="","",IF(H10="Muy Baja",0.2,IF(H10="Baja",0.4,IF(H10="Media",0.6,IF(H10="Alta",0.8,IF(H10="Muy Alta",1,))))))</f>
        <v>0.6</v>
      </c>
      <c r="J10" s="209" t="s">
        <v>154</v>
      </c>
      <c r="K10" s="206"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03" t="str">
        <f ca="1">IF(OR(K10='Tabla Impacto'!$C$11,K10='Tabla Impacto'!$D$11),"Leve",IF(OR(K10='Tabla Impacto'!$C$12,K10='Tabla Impacto'!$D$12),"Menor",IF(OR(K10='Tabla Impacto'!$C$13,K10='Tabla Impacto'!$D$13),"Moderado",IF(OR(K10='Tabla Impacto'!$C$14,K10='Tabla Impacto'!$D$14),"Mayor",IF(OR(K10='Tabla Impacto'!$C$15,K10='Tabla Impacto'!$D$15),"Catastrófico","")))))</f>
        <v>Menor</v>
      </c>
      <c r="M10" s="206">
        <f ca="1">IF(L10="","",IF(L10="Leve",0.2,IF(L10="Menor",0.4,IF(L10="Moderado",0.6,IF(L10="Mayor",0.8,IF(L10="Catastrófico",1,))))))</f>
        <v>0.4</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315</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414</v>
      </c>
      <c r="AF10" s="133" t="s">
        <v>314</v>
      </c>
      <c r="AG10" s="135">
        <v>45291</v>
      </c>
      <c r="AH10" s="135">
        <v>45271</v>
      </c>
      <c r="AI10" s="133" t="s">
        <v>366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4"/>
      <c r="B15" s="193"/>
      <c r="C15" s="193"/>
      <c r="D15" s="193"/>
      <c r="E15" s="217"/>
      <c r="F15" s="193"/>
      <c r="G15" s="196"/>
      <c r="H15" s="205"/>
      <c r="I15" s="208"/>
      <c r="J15" s="211"/>
      <c r="K15" s="208">
        <f ca="1">IF(NOT(ISERROR(MATCH(J15,_xlfn.ANCHORARRAY(E26),0))),I28&amp;"Por favor no seleccionar los criterios de impacto",J15)</f>
        <v>0</v>
      </c>
      <c r="L15" s="205"/>
      <c r="M15" s="208"/>
      <c r="N15" s="199"/>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2">
        <v>2</v>
      </c>
      <c r="B16" s="191"/>
      <c r="C16" s="191"/>
      <c r="D16" s="250"/>
      <c r="E16" s="250"/>
      <c r="F16" s="191"/>
      <c r="G16" s="194"/>
      <c r="H16" s="203" t="str">
        <f>IF(G16&lt;=0,"",IF(G16&lt;=2,"Muy Baja",IF(G16&lt;=24,"Baja",IF(G16&lt;=500,"Media",IF(G16&lt;=5000,"Alta","Muy Alta")))))</f>
        <v/>
      </c>
      <c r="I16" s="206" t="str">
        <f>IF(H16="","",IF(H16="Muy Baja",0.2,IF(H16="Baja",0.4,IF(H16="Media",0.6,IF(H16="Alta",0.8,IF(H16="Muy Alta",1,))))))</f>
        <v/>
      </c>
      <c r="J16" s="209"/>
      <c r="K16" s="206">
        <f ca="1">IF(NOT(ISERROR(MATCH(J16,'Tabla Impacto'!$B$221:$B$223,0))),'Tabla Impacto'!$F$223&amp;"Por favor no seleccionar los criterios de impacto(Afectación Económica o presupuestal y Pérdida Reputacional)",J16)</f>
        <v>0</v>
      </c>
      <c r="L16" s="203" t="str">
        <f ca="1">IF(OR(K16='Tabla Impacto'!$C$11,K16='Tabla Impacto'!$D$11),"Leve",IF(OR(K16='Tabla Impacto'!$C$12,K16='Tabla Impacto'!$D$12),"Menor",IF(OR(K16='Tabla Impacto'!$C$13,K16='Tabla Impacto'!$D$13),"Moderado",IF(OR(K16='Tabla Impacto'!$C$14,K16='Tabla Impacto'!$D$14),"Mayor",IF(OR(K16='Tabla Impacto'!$C$15,K16='Tabla Impacto'!$D$15),"Catastrófico","")))))</f>
        <v/>
      </c>
      <c r="M16" s="206" t="str">
        <f ca="1">IF(L16="","",IF(L16="Leve",0.2,IF(L16="Menor",0.4,IF(L16="Moderado",0.6,IF(L16="Mayor",0.8,IF(L16="Catastrófico",1,))))))</f>
        <v/>
      </c>
      <c r="N16" s="19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251"/>
      <c r="E17" s="251"/>
      <c r="F17" s="192"/>
      <c r="G17" s="195"/>
      <c r="H17" s="204"/>
      <c r="I17" s="207"/>
      <c r="J17" s="210"/>
      <c r="K17" s="207">
        <f ca="1">IF(NOT(ISERROR(MATCH(J17,_xlfn.ANCHORARRAY(E28),0))),I30&amp;"Por favor no seleccionar los criterios de impacto",J17)</f>
        <v>0</v>
      </c>
      <c r="L17" s="204"/>
      <c r="M17" s="207"/>
      <c r="N17" s="198"/>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251"/>
      <c r="E18" s="251"/>
      <c r="F18" s="192"/>
      <c r="G18" s="195"/>
      <c r="H18" s="204"/>
      <c r="I18" s="207"/>
      <c r="J18" s="210"/>
      <c r="K18" s="207">
        <f ca="1">IF(NOT(ISERROR(MATCH(J18,_xlfn.ANCHORARRAY(E29),0))),I31&amp;"Por favor no seleccionar los criterios de impacto",J18)</f>
        <v>0</v>
      </c>
      <c r="L18" s="204"/>
      <c r="M18" s="207"/>
      <c r="N18" s="198"/>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250"/>
      <c r="E19" s="250"/>
      <c r="F19" s="192"/>
      <c r="G19" s="195"/>
      <c r="H19" s="204"/>
      <c r="I19" s="207"/>
      <c r="J19" s="210"/>
      <c r="K19" s="207">
        <f ca="1">IF(NOT(ISERROR(MATCH(J19,_xlfn.ANCHORARRAY(E30),0))),I32&amp;"Por favor no seleccionar los criterios de impacto",J19)</f>
        <v>0</v>
      </c>
      <c r="L19" s="204"/>
      <c r="M19" s="207"/>
      <c r="N19" s="198"/>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251"/>
      <c r="E20" s="251"/>
      <c r="F20" s="192"/>
      <c r="G20" s="195"/>
      <c r="H20" s="204"/>
      <c r="I20" s="207"/>
      <c r="J20" s="210"/>
      <c r="K20" s="207">
        <f ca="1">IF(NOT(ISERROR(MATCH(J20,_xlfn.ANCHORARRAY(E31),0))),I33&amp;"Por favor no seleccionar los criterios de impacto",J20)</f>
        <v>0</v>
      </c>
      <c r="L20" s="204"/>
      <c r="M20" s="207"/>
      <c r="N20" s="198"/>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4"/>
      <c r="B21" s="193"/>
      <c r="C21" s="193"/>
      <c r="D21" s="251"/>
      <c r="E21" s="251"/>
      <c r="F21" s="193"/>
      <c r="G21" s="196"/>
      <c r="H21" s="205"/>
      <c r="I21" s="208"/>
      <c r="J21" s="211"/>
      <c r="K21" s="208">
        <f ca="1">IF(NOT(ISERROR(MATCH(J21,_xlfn.ANCHORARRAY(E32),0))),I34&amp;"Por favor no seleccionar los criterios de impacto",J21)</f>
        <v>0</v>
      </c>
      <c r="L21" s="205"/>
      <c r="M21" s="208"/>
      <c r="N21" s="199"/>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2">
        <v>3</v>
      </c>
      <c r="B22" s="191"/>
      <c r="C22" s="191"/>
      <c r="D22" s="191"/>
      <c r="E22" s="215"/>
      <c r="F22" s="191"/>
      <c r="G22" s="194"/>
      <c r="H22" s="203" t="str">
        <f>IF(G22&lt;=0,"",IF(G22&lt;=2,"Muy Baja",IF(G22&lt;=24,"Baja",IF(G22&lt;=500,"Media",IF(G22&lt;=5000,"Alta","Muy Alta")))))</f>
        <v/>
      </c>
      <c r="I22" s="206" t="str">
        <f>IF(H22="","",IF(H22="Muy Baja",0.2,IF(H22="Baja",0.4,IF(H22="Media",0.6,IF(H22="Alta",0.8,IF(H22="Muy Alta",1,))))))</f>
        <v/>
      </c>
      <c r="J22" s="209"/>
      <c r="K22" s="206">
        <f ca="1">IF(NOT(ISERROR(MATCH(J22,'Tabla Impacto'!$B$221:$B$223,0))),'Tabla Impacto'!$F$223&amp;"Por favor no seleccionar los criterios de impacto(Afectación Económica o presupuestal y Pérdida Reputacional)",J22)</f>
        <v>0</v>
      </c>
      <c r="L22" s="203" t="str">
        <f ca="1">IF(OR(K22='Tabla Impacto'!$C$11,K22='Tabla Impacto'!$D$11),"Leve",IF(OR(K22='Tabla Impacto'!$C$12,K22='Tabla Impacto'!$D$12),"Menor",IF(OR(K22='Tabla Impacto'!$C$13,K22='Tabla Impacto'!$D$13),"Moderado",IF(OR(K22='Tabla Impacto'!$C$14,K22='Tabla Impacto'!$D$14),"Mayor",IF(OR(K22='Tabla Impacto'!$C$15,K22='Tabla Impacto'!$D$15),"Catastrófico","")))))</f>
        <v/>
      </c>
      <c r="M22" s="206" t="str">
        <f ca="1">IF(L22="","",IF(L22="Leve",0.2,IF(L22="Menor",0.4,IF(L22="Moderado",0.6,IF(L22="Mayor",0.8,IF(L22="Catastrófico",1,))))))</f>
        <v/>
      </c>
      <c r="N22" s="19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ref="K23:K27" ca="1" si="15">IF(NOT(ISERROR(MATCH(J23,_xlfn.ANCHORARRAY(E34),0))),I36&amp;"Por favor no seleccionar los criterios de impacto",J23)</f>
        <v>0</v>
      </c>
      <c r="L23" s="204"/>
      <c r="M23" s="207"/>
      <c r="N23" s="198"/>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15"/>
        <v>0</v>
      </c>
      <c r="L26" s="204"/>
      <c r="M26" s="207"/>
      <c r="N26" s="198"/>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4"/>
      <c r="B27" s="193"/>
      <c r="C27" s="193"/>
      <c r="D27" s="193"/>
      <c r="E27" s="217"/>
      <c r="F27" s="193"/>
      <c r="G27" s="196"/>
      <c r="H27" s="205"/>
      <c r="I27" s="208"/>
      <c r="J27" s="211"/>
      <c r="K27" s="208">
        <f t="shared" ca="1" si="15"/>
        <v>0</v>
      </c>
      <c r="L27" s="205"/>
      <c r="M27" s="208"/>
      <c r="N27" s="199"/>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2">
        <v>4</v>
      </c>
      <c r="B28" s="191"/>
      <c r="C28" s="191"/>
      <c r="D28" s="191"/>
      <c r="E28" s="215"/>
      <c r="F28" s="191"/>
      <c r="G28" s="194"/>
      <c r="H28" s="203" t="str">
        <f>IF(G28&lt;=0,"",IF(G28&lt;=2,"Muy Baja",IF(G28&lt;=24,"Baja",IF(G28&lt;=500,"Media",IF(G28&lt;=5000,"Alta","Muy Alta")))))</f>
        <v/>
      </c>
      <c r="I28" s="206" t="str">
        <f>IF(H28="","",IF(H28="Muy Baja",0.2,IF(H28="Baja",0.4,IF(H28="Media",0.6,IF(H28="Alta",0.8,IF(H28="Muy Alta",1,))))))</f>
        <v/>
      </c>
      <c r="J28" s="209"/>
      <c r="K28" s="206">
        <f ca="1">IF(NOT(ISERROR(MATCH(J28,'Tabla Impacto'!$B$221:$B$223,0))),'Tabla Impacto'!$F$223&amp;"Por favor no seleccionar los criterios de impacto(Afectación Económica o presupuestal y Pérdida Reputacional)",J28)</f>
        <v>0</v>
      </c>
      <c r="L28" s="203" t="str">
        <f ca="1">IF(OR(K28='Tabla Impacto'!$C$11,K28='Tabla Impacto'!$D$11),"Leve",IF(OR(K28='Tabla Impacto'!$C$12,K28='Tabla Impacto'!$D$12),"Menor",IF(OR(K28='Tabla Impacto'!$C$13,K28='Tabla Impacto'!$D$13),"Moderado",IF(OR(K28='Tabla Impacto'!$C$14,K28='Tabla Impacto'!$D$14),"Mayor",IF(OR(K28='Tabla Impacto'!$C$15,K28='Tabla Impacto'!$D$15),"Catastrófico","")))))</f>
        <v/>
      </c>
      <c r="M28" s="206" t="str">
        <f ca="1">IF(L28="","",IF(L28="Leve",0.2,IF(L28="Menor",0.4,IF(L28="Moderado",0.6,IF(L28="Mayor",0.8,IF(L28="Catastrófico",1,))))))</f>
        <v/>
      </c>
      <c r="N28" s="19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ref="K29:K33" ca="1" si="23">IF(NOT(ISERROR(MATCH(J29,_xlfn.ANCHORARRAY(E40),0))),I42&amp;"Por favor no seleccionar los criterios de impacto",J29)</f>
        <v>0</v>
      </c>
      <c r="L29" s="204"/>
      <c r="M29" s="207"/>
      <c r="N29" s="198"/>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3"/>
        <v>0</v>
      </c>
      <c r="L32" s="204"/>
      <c r="M32" s="207"/>
      <c r="N32" s="198"/>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4"/>
      <c r="B33" s="193"/>
      <c r="C33" s="193"/>
      <c r="D33" s="193"/>
      <c r="E33" s="217"/>
      <c r="F33" s="193"/>
      <c r="G33" s="196"/>
      <c r="H33" s="205"/>
      <c r="I33" s="208"/>
      <c r="J33" s="211"/>
      <c r="K33" s="208">
        <f t="shared" ca="1" si="23"/>
        <v>0</v>
      </c>
      <c r="L33" s="205"/>
      <c r="M33" s="208"/>
      <c r="N33" s="199"/>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2">
        <v>5</v>
      </c>
      <c r="B34" s="191"/>
      <c r="C34" s="191"/>
      <c r="D34" s="191"/>
      <c r="E34" s="215"/>
      <c r="F34" s="191"/>
      <c r="G34" s="194"/>
      <c r="H34" s="203" t="str">
        <f>IF(G34&lt;=0,"",IF(G34&lt;=2,"Muy Baja",IF(G34&lt;=24,"Baja",IF(G34&lt;=500,"Media",IF(G34&lt;=5000,"Alta","Muy Alta")))))</f>
        <v/>
      </c>
      <c r="I34" s="206" t="str">
        <f>IF(H34="","",IF(H34="Muy Baja",0.2,IF(H34="Baja",0.4,IF(H34="Media",0.6,IF(H34="Alta",0.8,IF(H34="Muy Alta",1,))))))</f>
        <v/>
      </c>
      <c r="J34" s="209"/>
      <c r="K34" s="206">
        <f ca="1">IF(NOT(ISERROR(MATCH(J34,'Tabla Impacto'!$B$221:$B$223,0))),'Tabla Impacto'!$F$223&amp;"Por favor no seleccionar los criterios de impacto(Afectación Económica o presupuestal y Pérdida Reputacional)",J34)</f>
        <v>0</v>
      </c>
      <c r="L34" s="203" t="str">
        <f ca="1">IF(OR(K34='Tabla Impacto'!$C$11,K34='Tabla Impacto'!$D$11),"Leve",IF(OR(K34='Tabla Impacto'!$C$12,K34='Tabla Impacto'!$D$12),"Menor",IF(OR(K34='Tabla Impacto'!$C$13,K34='Tabla Impacto'!$D$13),"Moderado",IF(OR(K34='Tabla Impacto'!$C$14,K34='Tabla Impacto'!$D$14),"Mayor",IF(OR(K34='Tabla Impacto'!$C$15,K34='Tabla Impacto'!$D$15),"Catastrófico","")))))</f>
        <v/>
      </c>
      <c r="M34" s="206" t="str">
        <f ca="1">IF(L34="","",IF(L34="Leve",0.2,IF(L34="Menor",0.4,IF(L34="Moderado",0.6,IF(L34="Mayor",0.8,IF(L34="Catastrófico",1,))))))</f>
        <v/>
      </c>
      <c r="N34" s="19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ref="K35:K39" ca="1" si="31">IF(NOT(ISERROR(MATCH(J35,_xlfn.ANCHORARRAY(E46),0))),I48&amp;"Por favor no seleccionar los criterios de impacto",J35)</f>
        <v>0</v>
      </c>
      <c r="L35" s="204"/>
      <c r="M35" s="207"/>
      <c r="N35" s="198"/>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1"/>
        <v>0</v>
      </c>
      <c r="L38" s="204"/>
      <c r="M38" s="207"/>
      <c r="N38" s="198"/>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4"/>
      <c r="B39" s="193"/>
      <c r="C39" s="193"/>
      <c r="D39" s="193"/>
      <c r="E39" s="217"/>
      <c r="F39" s="193"/>
      <c r="G39" s="196"/>
      <c r="H39" s="205"/>
      <c r="I39" s="208"/>
      <c r="J39" s="211"/>
      <c r="K39" s="208">
        <f t="shared" ca="1" si="31"/>
        <v>0</v>
      </c>
      <c r="L39" s="205"/>
      <c r="M39" s="208"/>
      <c r="N39" s="199"/>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2">
        <v>6</v>
      </c>
      <c r="B40" s="191"/>
      <c r="C40" s="191"/>
      <c r="D40" s="191"/>
      <c r="E40" s="215"/>
      <c r="F40" s="191"/>
      <c r="G40" s="194"/>
      <c r="H40" s="203" t="str">
        <f>IF(G40&lt;=0,"",IF(G40&lt;=2,"Muy Baja",IF(G40&lt;=24,"Baja",IF(G40&lt;=500,"Media",IF(G40&lt;=5000,"Alta","Muy Alta")))))</f>
        <v/>
      </c>
      <c r="I40" s="206" t="str">
        <f>IF(H40="","",IF(H40="Muy Baja",0.2,IF(H40="Baja",0.4,IF(H40="Media",0.6,IF(H40="Alta",0.8,IF(H40="Muy Alta",1,))))))</f>
        <v/>
      </c>
      <c r="J40" s="209"/>
      <c r="K40" s="206">
        <f ca="1">IF(NOT(ISERROR(MATCH(J40,'Tabla Impacto'!$B$221:$B$223,0))),'Tabla Impacto'!$F$223&amp;"Por favor no seleccionar los criterios de impacto(Afectación Económica o presupuestal y Pérdida Reputacional)",J40)</f>
        <v>0</v>
      </c>
      <c r="L40" s="203" t="str">
        <f ca="1">IF(OR(K40='Tabla Impacto'!$C$11,K40='Tabla Impacto'!$D$11),"Leve",IF(OR(K40='Tabla Impacto'!$C$12,K40='Tabla Impacto'!$D$12),"Menor",IF(OR(K40='Tabla Impacto'!$C$13,K40='Tabla Impacto'!$D$13),"Moderado",IF(OR(K40='Tabla Impacto'!$C$14,K40='Tabla Impacto'!$D$14),"Mayor",IF(OR(K40='Tabla Impacto'!$C$15,K40='Tabla Impacto'!$D$15),"Catastrófico","")))))</f>
        <v/>
      </c>
      <c r="M40" s="206" t="str">
        <f ca="1">IF(L40="","",IF(L40="Leve",0.2,IF(L40="Menor",0.4,IF(L40="Moderado",0.6,IF(L40="Mayor",0.8,IF(L40="Catastrófico",1,))))))</f>
        <v/>
      </c>
      <c r="N40" s="19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ref="K41:K45" ca="1" si="39">IF(NOT(ISERROR(MATCH(J41,_xlfn.ANCHORARRAY(E52),0))),I54&amp;"Por favor no seleccionar los criterios de impacto",J41)</f>
        <v>0</v>
      </c>
      <c r="L41" s="204"/>
      <c r="M41" s="207"/>
      <c r="N41" s="198"/>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39"/>
        <v>0</v>
      </c>
      <c r="L44" s="204"/>
      <c r="M44" s="207"/>
      <c r="N44" s="198"/>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4"/>
      <c r="B45" s="193"/>
      <c r="C45" s="193"/>
      <c r="D45" s="193"/>
      <c r="E45" s="217"/>
      <c r="F45" s="193"/>
      <c r="G45" s="196"/>
      <c r="H45" s="205"/>
      <c r="I45" s="208"/>
      <c r="J45" s="211"/>
      <c r="K45" s="208">
        <f t="shared" ca="1" si="39"/>
        <v>0</v>
      </c>
      <c r="L45" s="205"/>
      <c r="M45" s="208"/>
      <c r="N45" s="199"/>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2">
        <v>7</v>
      </c>
      <c r="B46" s="191"/>
      <c r="C46" s="191"/>
      <c r="D46" s="191"/>
      <c r="E46" s="215"/>
      <c r="F46" s="191"/>
      <c r="G46" s="194"/>
      <c r="H46" s="203" t="str">
        <f>IF(G46&lt;=0,"",IF(G46&lt;=2,"Muy Baja",IF(G46&lt;=24,"Baja",IF(G46&lt;=500,"Media",IF(G46&lt;=5000,"Alta","Muy Alta")))))</f>
        <v/>
      </c>
      <c r="I46" s="206" t="str">
        <f>IF(H46="","",IF(H46="Muy Baja",0.2,IF(H46="Baja",0.4,IF(H46="Media",0.6,IF(H46="Alta",0.8,IF(H46="Muy Alta",1,))))))</f>
        <v/>
      </c>
      <c r="J46" s="209"/>
      <c r="K46" s="206">
        <f ca="1">IF(NOT(ISERROR(MATCH(J46,'Tabla Impacto'!$B$221:$B$223,0))),'Tabla Impacto'!$F$223&amp;"Por favor no seleccionar los criterios de impacto(Afectación Económica o presupuestal y Pérdida Reputacional)",J46)</f>
        <v>0</v>
      </c>
      <c r="L46" s="203" t="str">
        <f ca="1">IF(OR(K46='Tabla Impacto'!$C$11,K46='Tabla Impacto'!$D$11),"Leve",IF(OR(K46='Tabla Impacto'!$C$12,K46='Tabla Impacto'!$D$12),"Menor",IF(OR(K46='Tabla Impacto'!$C$13,K46='Tabla Impacto'!$D$13),"Moderado",IF(OR(K46='Tabla Impacto'!$C$14,K46='Tabla Impacto'!$D$14),"Mayor",IF(OR(K46='Tabla Impacto'!$C$15,K46='Tabla Impacto'!$D$15),"Catastrófico","")))))</f>
        <v/>
      </c>
      <c r="M46" s="206" t="str">
        <f ca="1">IF(L46="","",IF(L46="Leve",0.2,IF(L46="Menor",0.4,IF(L46="Moderado",0.6,IF(L46="Mayor",0.8,IF(L46="Catastrófico",1,))))))</f>
        <v/>
      </c>
      <c r="N46" s="19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ref="K47:K51" ca="1" si="47">IF(NOT(ISERROR(MATCH(J47,_xlfn.ANCHORARRAY(E58),0))),I60&amp;"Por favor no seleccionar los criterios de impacto",J47)</f>
        <v>0</v>
      </c>
      <c r="L47" s="204"/>
      <c r="M47" s="207"/>
      <c r="N47" s="198"/>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t="shared" ca="1" si="47"/>
        <v>0</v>
      </c>
      <c r="L50" s="204"/>
      <c r="M50" s="207"/>
      <c r="N50" s="198"/>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4"/>
      <c r="B51" s="193"/>
      <c r="C51" s="193"/>
      <c r="D51" s="193"/>
      <c r="E51" s="217"/>
      <c r="F51" s="193"/>
      <c r="G51" s="196"/>
      <c r="H51" s="205"/>
      <c r="I51" s="208"/>
      <c r="J51" s="211"/>
      <c r="K51" s="208">
        <f t="shared" ca="1" si="47"/>
        <v>0</v>
      </c>
      <c r="L51" s="205"/>
      <c r="M51" s="208"/>
      <c r="N51" s="199"/>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2">
        <v>8</v>
      </c>
      <c r="B52" s="191"/>
      <c r="C52" s="191"/>
      <c r="D52" s="191"/>
      <c r="E52" s="215"/>
      <c r="F52" s="191"/>
      <c r="G52" s="194"/>
      <c r="H52" s="203" t="str">
        <f>IF(G52&lt;=0,"",IF(G52&lt;=2,"Muy Baja",IF(G52&lt;=24,"Baja",IF(G52&lt;=500,"Media",IF(G52&lt;=5000,"Alta","Muy Alta")))))</f>
        <v/>
      </c>
      <c r="I52" s="206" t="str">
        <f>IF(H52="","",IF(H52="Muy Baja",0.2,IF(H52="Baja",0.4,IF(H52="Media",0.6,IF(H52="Alta",0.8,IF(H52="Muy Alta",1,))))))</f>
        <v/>
      </c>
      <c r="J52" s="209"/>
      <c r="K52" s="206">
        <f ca="1">IF(NOT(ISERROR(MATCH(J52,'Tabla Impacto'!$B$221:$B$223,0))),'Tabla Impacto'!$F$223&amp;"Por favor no seleccionar los criterios de impacto(Afectación Económica o presupuestal y Pérdida Reputacional)",J52)</f>
        <v>0</v>
      </c>
      <c r="L52" s="203" t="str">
        <f ca="1">IF(OR(K52='Tabla Impacto'!$C$11,K52='Tabla Impacto'!$D$11),"Leve",IF(OR(K52='Tabla Impacto'!$C$12,K52='Tabla Impacto'!$D$12),"Menor",IF(OR(K52='Tabla Impacto'!$C$13,K52='Tabla Impacto'!$D$13),"Moderado",IF(OR(K52='Tabla Impacto'!$C$14,K52='Tabla Impacto'!$D$14),"Mayor",IF(OR(K52='Tabla Impacto'!$C$15,K52='Tabla Impacto'!$D$15),"Catastrófico","")))))</f>
        <v/>
      </c>
      <c r="M52" s="206" t="str">
        <f ca="1">IF(L52="","",IF(L52="Leve",0.2,IF(L52="Menor",0.4,IF(L52="Moderado",0.6,IF(L52="Mayor",0.8,IF(L52="Catastrófico",1,))))))</f>
        <v/>
      </c>
      <c r="N52" s="19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4"/>
      <c r="B57" s="193"/>
      <c r="C57" s="193"/>
      <c r="D57" s="193"/>
      <c r="E57" s="217"/>
      <c r="F57" s="193"/>
      <c r="G57" s="196"/>
      <c r="H57" s="205"/>
      <c r="I57" s="208"/>
      <c r="J57" s="211"/>
      <c r="K57" s="208">
        <f ca="1">IF(NOT(ISERROR(MATCH(J57,_xlfn.ANCHORARRAY(E68),0))),I70&amp;"Por favor no seleccionar los criterios de impacto",J57)</f>
        <v>0</v>
      </c>
      <c r="L57" s="205"/>
      <c r="M57" s="208"/>
      <c r="N57" s="199"/>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2">
        <v>9</v>
      </c>
      <c r="B58" s="191"/>
      <c r="C58" s="191"/>
      <c r="D58" s="191"/>
      <c r="E58" s="215"/>
      <c r="F58" s="191"/>
      <c r="G58" s="194"/>
      <c r="H58" s="203" t="str">
        <f>IF(G58&lt;=0,"",IF(G58&lt;=2,"Muy Baja",IF(G58&lt;=24,"Baja",IF(G58&lt;=500,"Media",IF(G58&lt;=5000,"Alta","Muy Alta")))))</f>
        <v/>
      </c>
      <c r="I58" s="206" t="str">
        <f>IF(H58="","",IF(H58="Muy Baja",0.2,IF(H58="Baja",0.4,IF(H58="Media",0.6,IF(H58="Alta",0.8,IF(H58="Muy Alta",1,))))))</f>
        <v/>
      </c>
      <c r="J58" s="209"/>
      <c r="K58" s="206">
        <f ca="1">IF(NOT(ISERROR(MATCH(J58,'Tabla Impacto'!$B$221:$B$223,0))),'Tabla Impacto'!$F$223&amp;"Por favor no seleccionar los criterios de impacto(Afectación Económica o presupuestal y Pérdida Reputacional)",J58)</f>
        <v>0</v>
      </c>
      <c r="L58" s="203" t="str">
        <f ca="1">IF(OR(K58='Tabla Impacto'!$C$11,K58='Tabla Impacto'!$D$11),"Leve",IF(OR(K58='Tabla Impacto'!$C$12,K58='Tabla Impacto'!$D$12),"Menor",IF(OR(K58='Tabla Impacto'!$C$13,K58='Tabla Impacto'!$D$13),"Moderado",IF(OR(K58='Tabla Impacto'!$C$14,K58='Tabla Impacto'!$D$14),"Mayor",IF(OR(K58='Tabla Impacto'!$C$15,K58='Tabla Impacto'!$D$15),"Catastrófico","")))))</f>
        <v/>
      </c>
      <c r="M58" s="206" t="str">
        <f ca="1">IF(L58="","",IF(L58="Leve",0.2,IF(L58="Menor",0.4,IF(L58="Moderado",0.6,IF(L58="Mayor",0.8,IF(L58="Catastrófico",1,))))))</f>
        <v/>
      </c>
      <c r="N58" s="19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4"/>
      <c r="B63" s="193"/>
      <c r="C63" s="193"/>
      <c r="D63" s="193"/>
      <c r="E63" s="217"/>
      <c r="F63" s="193"/>
      <c r="G63" s="196"/>
      <c r="H63" s="205"/>
      <c r="I63" s="208"/>
      <c r="J63" s="211"/>
      <c r="K63" s="208">
        <f ca="1">IF(NOT(ISERROR(MATCH(J63,_xlfn.ANCHORARRAY(E74),0))),I76&amp;"Por favor no seleccionar los criterios de impacto",J63)</f>
        <v>0</v>
      </c>
      <c r="L63" s="205"/>
      <c r="M63" s="208"/>
      <c r="N63" s="199"/>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2">
        <v>10</v>
      </c>
      <c r="B64" s="191"/>
      <c r="C64" s="191"/>
      <c r="D64" s="191"/>
      <c r="E64" s="215"/>
      <c r="F64" s="191"/>
      <c r="G64" s="194"/>
      <c r="H64" s="203" t="str">
        <f>IF(G64&lt;=0,"",IF(G64&lt;=2,"Muy Baja",IF(G64&lt;=24,"Baja",IF(G64&lt;=500,"Media",IF(G64&lt;=5000,"Alta","Muy Alta")))))</f>
        <v/>
      </c>
      <c r="I64" s="206" t="str">
        <f>IF(H64="","",IF(H64="Muy Baja",0.2,IF(H64="Baja",0.4,IF(H64="Media",0.6,IF(H64="Alta",0.8,IF(H64="Muy Alta",1,))))))</f>
        <v/>
      </c>
      <c r="J64" s="209"/>
      <c r="K64" s="206">
        <f ca="1">IF(NOT(ISERROR(MATCH(J64,'Tabla Impacto'!$B$221:$B$223,0))),'Tabla Impacto'!$F$223&amp;"Por favor no seleccionar los criterios de impacto(Afectación Económica o presupuestal y Pérdida Reputacional)",J64)</f>
        <v>0</v>
      </c>
      <c r="L64" s="203" t="str">
        <f ca="1">IF(OR(K64='Tabla Impacto'!$C$11,K64='Tabla Impacto'!$D$11),"Leve",IF(OR(K64='Tabla Impacto'!$C$12,K64='Tabla Impacto'!$D$12),"Menor",IF(OR(K64='Tabla Impacto'!$C$13,K64='Tabla Impacto'!$D$13),"Moderado",IF(OR(K64='Tabla Impacto'!$C$14,K64='Tabla Impacto'!$D$14),"Mayor",IF(OR(K64='Tabla Impacto'!$C$15,K64='Tabla Impacto'!$D$15),"Catastrófico","")))))</f>
        <v/>
      </c>
      <c r="M64" s="206" t="str">
        <f ca="1">IF(L64="","",IF(L64="Leve",0.2,IF(L64="Menor",0.4,IF(L64="Moderado",0.6,IF(L64="Mayor",0.8,IF(L64="Catastrófico",1,))))))</f>
        <v/>
      </c>
      <c r="N64" s="19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3"/>
      <c r="B68" s="192"/>
      <c r="C68" s="192"/>
      <c r="D68" s="192"/>
      <c r="E68" s="216"/>
      <c r="F68" s="192"/>
      <c r="G68" s="195"/>
      <c r="H68" s="204"/>
      <c r="I68" s="207"/>
      <c r="J68" s="210"/>
      <c r="K68" s="207">
        <f ca="1">IF(NOT(ISERROR(MATCH(J68,_xlfn.ANCHORARRAY(E79),0))),I81&amp;"Por favor no seleccionar los criterios de impacto",J68)</f>
        <v>0</v>
      </c>
      <c r="L68" s="204"/>
      <c r="M68" s="207"/>
      <c r="N68" s="198"/>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4"/>
      <c r="B69" s="193"/>
      <c r="C69" s="193"/>
      <c r="D69" s="193"/>
      <c r="E69" s="217"/>
      <c r="F69" s="193"/>
      <c r="G69" s="196"/>
      <c r="H69" s="205"/>
      <c r="I69" s="208"/>
      <c r="J69" s="211"/>
      <c r="K69" s="208">
        <f ca="1">IF(NOT(ISERROR(MATCH(J69,_xlfn.ANCHORARRAY(E80),0))),I82&amp;"Por favor no seleccionar los criterios de impacto",J69)</f>
        <v>0</v>
      </c>
      <c r="L69" s="205"/>
      <c r="M69" s="208"/>
      <c r="N69" s="199"/>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00" t="s">
        <v>131</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2"/>
    </row>
    <row r="72" spans="1:36" x14ac:dyDescent="0.3">
      <c r="A72" s="1"/>
      <c r="B72" s="24" t="s">
        <v>143</v>
      </c>
      <c r="C72" s="1"/>
      <c r="D72" s="1"/>
      <c r="F72" s="1"/>
    </row>
  </sheetData>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318" priority="101" operator="equal">
      <formula>"Muy Alta"</formula>
    </cfRule>
    <cfRule type="cellIs" dxfId="317" priority="102" operator="equal">
      <formula>"Alta"</formula>
    </cfRule>
    <cfRule type="cellIs" dxfId="316" priority="103" operator="equal">
      <formula>"Media"</formula>
    </cfRule>
    <cfRule type="cellIs" dxfId="315" priority="104" operator="equal">
      <formula>"Baja"</formula>
    </cfRule>
    <cfRule type="cellIs" dxfId="314" priority="105" operator="equal">
      <formula>"Muy Baja"</formula>
    </cfRule>
  </conditionalFormatting>
  <conditionalFormatting sqref="H22">
    <cfRule type="cellIs" dxfId="313" priority="83" operator="equal">
      <formula>"Muy Alta"</formula>
    </cfRule>
    <cfRule type="cellIs" dxfId="312" priority="84" operator="equal">
      <formula>"Alta"</formula>
    </cfRule>
    <cfRule type="cellIs" dxfId="311" priority="85" operator="equal">
      <formula>"Media"</formula>
    </cfRule>
    <cfRule type="cellIs" dxfId="310" priority="86" operator="equal">
      <formula>"Baja"</formula>
    </cfRule>
    <cfRule type="cellIs" dxfId="309" priority="87" operator="equal">
      <formula>"Muy Baja"</formula>
    </cfRule>
  </conditionalFormatting>
  <conditionalFormatting sqref="H28">
    <cfRule type="cellIs" dxfId="308" priority="74" operator="equal">
      <formula>"Muy Alta"</formula>
    </cfRule>
    <cfRule type="cellIs" dxfId="307" priority="75" operator="equal">
      <formula>"Alta"</formula>
    </cfRule>
    <cfRule type="cellIs" dxfId="306" priority="76" operator="equal">
      <formula>"Media"</formula>
    </cfRule>
    <cfRule type="cellIs" dxfId="305" priority="77" operator="equal">
      <formula>"Baja"</formula>
    </cfRule>
    <cfRule type="cellIs" dxfId="304" priority="78" operator="equal">
      <formula>"Muy Baja"</formula>
    </cfRule>
  </conditionalFormatting>
  <conditionalFormatting sqref="H34">
    <cfRule type="cellIs" dxfId="303" priority="65" operator="equal">
      <formula>"Muy Alta"</formula>
    </cfRule>
    <cfRule type="cellIs" dxfId="302" priority="66" operator="equal">
      <formula>"Alta"</formula>
    </cfRule>
    <cfRule type="cellIs" dxfId="301" priority="67" operator="equal">
      <formula>"Media"</formula>
    </cfRule>
    <cfRule type="cellIs" dxfId="300" priority="68" operator="equal">
      <formula>"Baja"</formula>
    </cfRule>
    <cfRule type="cellIs" dxfId="299" priority="69" operator="equal">
      <formula>"Muy Baja"</formula>
    </cfRule>
  </conditionalFormatting>
  <conditionalFormatting sqref="H40">
    <cfRule type="cellIs" dxfId="298" priority="56" operator="equal">
      <formula>"Muy Alta"</formula>
    </cfRule>
    <cfRule type="cellIs" dxfId="297" priority="57" operator="equal">
      <formula>"Alta"</formula>
    </cfRule>
    <cfRule type="cellIs" dxfId="296" priority="58" operator="equal">
      <formula>"Media"</formula>
    </cfRule>
    <cfRule type="cellIs" dxfId="295" priority="59" operator="equal">
      <formula>"Baja"</formula>
    </cfRule>
    <cfRule type="cellIs" dxfId="294" priority="60" operator="equal">
      <formula>"Muy Baja"</formula>
    </cfRule>
  </conditionalFormatting>
  <conditionalFormatting sqref="H46">
    <cfRule type="cellIs" dxfId="293" priority="47" operator="equal">
      <formula>"Muy Alta"</formula>
    </cfRule>
    <cfRule type="cellIs" dxfId="292" priority="48" operator="equal">
      <formula>"Alta"</formula>
    </cfRule>
    <cfRule type="cellIs" dxfId="291" priority="49" operator="equal">
      <formula>"Media"</formula>
    </cfRule>
    <cfRule type="cellIs" dxfId="290" priority="50" operator="equal">
      <formula>"Baja"</formula>
    </cfRule>
    <cfRule type="cellIs" dxfId="289" priority="51" operator="equal">
      <formula>"Muy Baja"</formula>
    </cfRule>
  </conditionalFormatting>
  <conditionalFormatting sqref="H52">
    <cfRule type="cellIs" dxfId="288" priority="38" operator="equal">
      <formula>"Muy Alta"</formula>
    </cfRule>
    <cfRule type="cellIs" dxfId="287" priority="39" operator="equal">
      <formula>"Alta"</formula>
    </cfRule>
    <cfRule type="cellIs" dxfId="286" priority="40" operator="equal">
      <formula>"Media"</formula>
    </cfRule>
    <cfRule type="cellIs" dxfId="285" priority="41" operator="equal">
      <formula>"Baja"</formula>
    </cfRule>
    <cfRule type="cellIs" dxfId="284" priority="42" operator="equal">
      <formula>"Muy Baja"</formula>
    </cfRule>
  </conditionalFormatting>
  <conditionalFormatting sqref="H58">
    <cfRule type="cellIs" dxfId="283" priority="29" operator="equal">
      <formula>"Muy Alta"</formula>
    </cfRule>
    <cfRule type="cellIs" dxfId="282" priority="30" operator="equal">
      <formula>"Alta"</formula>
    </cfRule>
    <cfRule type="cellIs" dxfId="281" priority="31" operator="equal">
      <formula>"Media"</formula>
    </cfRule>
    <cfRule type="cellIs" dxfId="280" priority="32" operator="equal">
      <formula>"Baja"</formula>
    </cfRule>
    <cfRule type="cellIs" dxfId="279" priority="33" operator="equal">
      <formula>"Muy Baja"</formula>
    </cfRule>
  </conditionalFormatting>
  <conditionalFormatting sqref="H64">
    <cfRule type="cellIs" dxfId="278" priority="20" operator="equal">
      <formula>"Muy Alta"</formula>
    </cfRule>
    <cfRule type="cellIs" dxfId="277" priority="21" operator="equal">
      <formula>"Alta"</formula>
    </cfRule>
    <cfRule type="cellIs" dxfId="276" priority="22" operator="equal">
      <formula>"Media"</formula>
    </cfRule>
    <cfRule type="cellIs" dxfId="275" priority="23" operator="equal">
      <formula>"Baja"</formula>
    </cfRule>
    <cfRule type="cellIs" dxfId="274" priority="24" operator="equal">
      <formula>"Muy Baja"</formula>
    </cfRule>
  </conditionalFormatting>
  <conditionalFormatting sqref="K10:K69">
    <cfRule type="containsText" dxfId="273" priority="1" operator="containsText" text="❌">
      <formula>NOT(ISERROR(SEARCH("❌",K10)))</formula>
    </cfRule>
  </conditionalFormatting>
  <conditionalFormatting sqref="L10 L16 L22 L28 L34 L40 L46 L52 L58 L64">
    <cfRule type="cellIs" dxfId="272" priority="96" operator="equal">
      <formula>"Catastrófico"</formula>
    </cfRule>
    <cfRule type="cellIs" dxfId="271" priority="97" operator="equal">
      <formula>"Mayor"</formula>
    </cfRule>
    <cfRule type="cellIs" dxfId="270" priority="98" operator="equal">
      <formula>"Moderado"</formula>
    </cfRule>
    <cfRule type="cellIs" dxfId="269" priority="99" operator="equal">
      <formula>"Menor"</formula>
    </cfRule>
    <cfRule type="cellIs" dxfId="268" priority="100" operator="equal">
      <formula>"Leve"</formula>
    </cfRule>
  </conditionalFormatting>
  <conditionalFormatting sqref="N10">
    <cfRule type="cellIs" dxfId="267" priority="92" operator="equal">
      <formula>"Extremo"</formula>
    </cfRule>
    <cfRule type="cellIs" dxfId="266" priority="93" operator="equal">
      <formula>"Alto"</formula>
    </cfRule>
    <cfRule type="cellIs" dxfId="265" priority="94" operator="equal">
      <formula>"Moderado"</formula>
    </cfRule>
    <cfRule type="cellIs" dxfId="264" priority="95" operator="equal">
      <formula>"Bajo"</formula>
    </cfRule>
  </conditionalFormatting>
  <conditionalFormatting sqref="N16">
    <cfRule type="cellIs" dxfId="263" priority="88" operator="equal">
      <formula>"Extremo"</formula>
    </cfRule>
    <cfRule type="cellIs" dxfId="262" priority="89" operator="equal">
      <formula>"Alto"</formula>
    </cfRule>
    <cfRule type="cellIs" dxfId="261" priority="90" operator="equal">
      <formula>"Moderado"</formula>
    </cfRule>
    <cfRule type="cellIs" dxfId="260" priority="91" operator="equal">
      <formula>"Bajo"</formula>
    </cfRule>
  </conditionalFormatting>
  <conditionalFormatting sqref="N22">
    <cfRule type="cellIs" dxfId="259" priority="79" operator="equal">
      <formula>"Extremo"</formula>
    </cfRule>
    <cfRule type="cellIs" dxfId="258" priority="80" operator="equal">
      <formula>"Alto"</formula>
    </cfRule>
    <cfRule type="cellIs" dxfId="257" priority="81" operator="equal">
      <formula>"Moderado"</formula>
    </cfRule>
    <cfRule type="cellIs" dxfId="256" priority="82" operator="equal">
      <formula>"Bajo"</formula>
    </cfRule>
  </conditionalFormatting>
  <conditionalFormatting sqref="N28">
    <cfRule type="cellIs" dxfId="255" priority="70" operator="equal">
      <formula>"Extremo"</formula>
    </cfRule>
    <cfRule type="cellIs" dxfId="254" priority="71" operator="equal">
      <formula>"Alto"</formula>
    </cfRule>
    <cfRule type="cellIs" dxfId="253" priority="72" operator="equal">
      <formula>"Moderado"</formula>
    </cfRule>
    <cfRule type="cellIs" dxfId="252" priority="73" operator="equal">
      <formula>"Bajo"</formula>
    </cfRule>
  </conditionalFormatting>
  <conditionalFormatting sqref="N34">
    <cfRule type="cellIs" dxfId="251" priority="61" operator="equal">
      <formula>"Extremo"</formula>
    </cfRule>
    <cfRule type="cellIs" dxfId="250" priority="62" operator="equal">
      <formula>"Alto"</formula>
    </cfRule>
    <cfRule type="cellIs" dxfId="249" priority="63" operator="equal">
      <formula>"Moderado"</formula>
    </cfRule>
    <cfRule type="cellIs" dxfId="248" priority="64" operator="equal">
      <formula>"Bajo"</formula>
    </cfRule>
  </conditionalFormatting>
  <conditionalFormatting sqref="N40">
    <cfRule type="cellIs" dxfId="247" priority="52" operator="equal">
      <formula>"Extremo"</formula>
    </cfRule>
    <cfRule type="cellIs" dxfId="246" priority="53" operator="equal">
      <formula>"Alto"</formula>
    </cfRule>
    <cfRule type="cellIs" dxfId="245" priority="54" operator="equal">
      <formula>"Moderado"</formula>
    </cfRule>
    <cfRule type="cellIs" dxfId="244" priority="55" operator="equal">
      <formula>"Bajo"</formula>
    </cfRule>
  </conditionalFormatting>
  <conditionalFormatting sqref="N46">
    <cfRule type="cellIs" dxfId="243" priority="43" operator="equal">
      <formula>"Extremo"</formula>
    </cfRule>
    <cfRule type="cellIs" dxfId="242" priority="44" operator="equal">
      <formula>"Alto"</formula>
    </cfRule>
    <cfRule type="cellIs" dxfId="241" priority="45" operator="equal">
      <formula>"Moderado"</formula>
    </cfRule>
    <cfRule type="cellIs" dxfId="240" priority="46" operator="equal">
      <formula>"Bajo"</formula>
    </cfRule>
  </conditionalFormatting>
  <conditionalFormatting sqref="N52">
    <cfRule type="cellIs" dxfId="239" priority="34" operator="equal">
      <formula>"Extremo"</formula>
    </cfRule>
    <cfRule type="cellIs" dxfId="238" priority="35" operator="equal">
      <formula>"Alto"</formula>
    </cfRule>
    <cfRule type="cellIs" dxfId="237" priority="36" operator="equal">
      <formula>"Moderado"</formula>
    </cfRule>
    <cfRule type="cellIs" dxfId="236" priority="37" operator="equal">
      <formula>"Bajo"</formula>
    </cfRule>
  </conditionalFormatting>
  <conditionalFormatting sqref="N58">
    <cfRule type="cellIs" dxfId="235" priority="25" operator="equal">
      <formula>"Extremo"</formula>
    </cfRule>
    <cfRule type="cellIs" dxfId="234" priority="26" operator="equal">
      <formula>"Alto"</formula>
    </cfRule>
    <cfRule type="cellIs" dxfId="233" priority="27" operator="equal">
      <formula>"Moderado"</formula>
    </cfRule>
    <cfRule type="cellIs" dxfId="232" priority="28" operator="equal">
      <formula>"Bajo"</formula>
    </cfRule>
  </conditionalFormatting>
  <conditionalFormatting sqref="N64">
    <cfRule type="cellIs" dxfId="231" priority="16" operator="equal">
      <formula>"Extremo"</formula>
    </cfRule>
    <cfRule type="cellIs" dxfId="230" priority="17" operator="equal">
      <formula>"Alto"</formula>
    </cfRule>
    <cfRule type="cellIs" dxfId="229" priority="18" operator="equal">
      <formula>"Moderado"</formula>
    </cfRule>
    <cfRule type="cellIs" dxfId="228" priority="19" operator="equal">
      <formula>"Bajo"</formula>
    </cfRule>
  </conditionalFormatting>
  <conditionalFormatting sqref="Y10:Y69">
    <cfRule type="cellIs" dxfId="227" priority="11" operator="equal">
      <formula>"Muy Alta"</formula>
    </cfRule>
    <cfRule type="cellIs" dxfId="226" priority="12" operator="equal">
      <formula>"Alta"</formula>
    </cfRule>
    <cfRule type="cellIs" dxfId="225" priority="13" operator="equal">
      <formula>"Media"</formula>
    </cfRule>
    <cfRule type="cellIs" dxfId="224" priority="14" operator="equal">
      <formula>"Baja"</formula>
    </cfRule>
    <cfRule type="cellIs" dxfId="223" priority="15" operator="equal">
      <formula>"Muy Baja"</formula>
    </cfRule>
  </conditionalFormatting>
  <conditionalFormatting sqref="AA10:AA69">
    <cfRule type="cellIs" dxfId="222" priority="6" operator="equal">
      <formula>"Catastrófico"</formula>
    </cfRule>
    <cfRule type="cellIs" dxfId="221" priority="7" operator="equal">
      <formula>"Mayor"</formula>
    </cfRule>
    <cfRule type="cellIs" dxfId="220" priority="8" operator="equal">
      <formula>"Moderado"</formula>
    </cfRule>
    <cfRule type="cellIs" dxfId="219" priority="9" operator="equal">
      <formula>"Menor"</formula>
    </cfRule>
    <cfRule type="cellIs" dxfId="218" priority="10" operator="equal">
      <formula>"Leve"</formula>
    </cfRule>
  </conditionalFormatting>
  <conditionalFormatting sqref="AC10:AC69">
    <cfRule type="cellIs" dxfId="217" priority="2" operator="equal">
      <formula>"Extremo"</formula>
    </cfRule>
    <cfRule type="cellIs" dxfId="216" priority="3" operator="equal">
      <formula>"Alto"</formula>
    </cfRule>
    <cfRule type="cellIs" dxfId="215" priority="4" operator="equal">
      <formula>"Moderado"</formula>
    </cfRule>
    <cfRule type="cellIs" dxfId="214"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1B187172-654B-489A-A3BC-4E6D3391C43C}">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29F5CBE4-8D65-4283-9057-5F27B8302D2D}">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29B2F4B4-3765-4C19-81CD-4181A9C38CDB}">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62232D35-E0D7-4D78-B1DB-355986923AEA}">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96493E1B-862D-4955-8E98-0CAA8AA3535E}">
          <x14:formula1>
            <xm:f>IF(OR(AD10='Opciones Tratamiento'!$B$2,AD10='Opciones Tratamiento'!$B$3,AD10='Opciones Tratamiento'!$B$4),ISBLANK(AD10),ISTEXT(AD10))</xm:f>
          </x14:formula1>
          <xm:sqref>AE10:AE69</xm:sqref>
        </x14:dataValidation>
        <x14:dataValidation type="list" allowBlank="1" showInputMessage="1" showErrorMessage="1" xr:uid="{2B6A8302-EA09-4121-9815-5934AEBBE224}">
          <x14:formula1>
            <xm:f>'Tabla Impacto'!$F$210:$F$221</xm:f>
          </x14:formula1>
          <xm:sqref>J10:J69</xm:sqref>
        </x14:dataValidation>
        <x14:dataValidation type="list" allowBlank="1" showInputMessage="1" showErrorMessage="1" xr:uid="{E86F3C0D-64DA-4B78-B57B-39C359905784}">
          <x14:formula1>
            <xm:f>'Opciones Tratamiento'!$B$2:$B$5</xm:f>
          </x14:formula1>
          <xm:sqref>AD10:AD69</xm:sqref>
        </x14:dataValidation>
        <x14:dataValidation type="list" allowBlank="1" showInputMessage="1" showErrorMessage="1" xr:uid="{0879E7CB-7ECE-4957-93CC-FB641F83E7B4}">
          <x14:formula1>
            <xm:f>'Opciones Tratamiento'!$E$2:$E$4</xm:f>
          </x14:formula1>
          <xm:sqref>B10:B69</xm:sqref>
        </x14:dataValidation>
        <x14:dataValidation type="list" allowBlank="1" showInputMessage="1" showErrorMessage="1" xr:uid="{E0BFD067-141A-46CF-AFAB-F4F413DB1C74}">
          <x14:formula1>
            <xm:f>'Opciones Tratamiento'!$B$13:$B$19</xm:f>
          </x14:formula1>
          <xm:sqref>F10:F69</xm:sqref>
        </x14:dataValidation>
        <x14:dataValidation type="list" allowBlank="1" showInputMessage="1" showErrorMessage="1" xr:uid="{23AB942F-B495-4AB0-B68A-CF2BC2C1C9D5}">
          <x14:formula1>
            <xm:f>'Tabla Valoración controles'!$D$13:$D$14</xm:f>
          </x14:formula1>
          <xm:sqref>W10:W69</xm:sqref>
        </x14:dataValidation>
        <x14:dataValidation type="list" allowBlank="1" showInputMessage="1" showErrorMessage="1" xr:uid="{D8B7EB70-3C5F-4C92-93F9-93023CCCBB65}">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FE11A377-A7CD-4E78-800D-64684E1A8C71}">
          <x14:formula1>
            <xm:f>'Tabla Valoración controles'!$D$11:$D$12</xm:f>
          </x14:formula1>
          <xm:sqref>V10:V69</xm:sqref>
        </x14:dataValidation>
        <x14:dataValidation type="list" allowBlank="1" showInputMessage="1" showErrorMessage="1" xr:uid="{1666143E-3627-459B-8D16-3125CF14553E}">
          <x14:formula1>
            <xm:f>'Tabla Valoración controles'!$D$9:$D$10</xm:f>
          </x14:formula1>
          <xm:sqref>U10:U69</xm:sqref>
        </x14:dataValidation>
        <x14:dataValidation type="list" allowBlank="1" showInputMessage="1" showErrorMessage="1" xr:uid="{2EA843B7-67E3-4DF3-844C-F4A5E8C9E88A}">
          <x14:formula1>
            <xm:f>'Tabla Valoración controles'!$D$7:$D$8</xm:f>
          </x14:formula1>
          <xm:sqref>S10:S69</xm:sqref>
        </x14:dataValidation>
        <x14:dataValidation type="list" allowBlank="1" showInputMessage="1" showErrorMessage="1" xr:uid="{FA85D6CE-ECDA-496B-91C9-EB1146863C7A}">
          <x14:formula1>
            <xm:f>'Tabla Valoración controles'!$D$4:$D$6</xm:f>
          </x14:formula1>
          <xm:sqref>R10:R69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90A4C-4595-408A-B9F2-581040BEE15D}">
  <sheetPr>
    <tabColor rgb="FF7030A0"/>
  </sheetPr>
  <dimension ref="A1:BP72"/>
  <sheetViews>
    <sheetView topLeftCell="M8" zoomScale="59" zoomScaleNormal="59" workbookViewId="0">
      <selection activeCell="AH10" sqref="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359</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360</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361</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134</v>
      </c>
      <c r="C10" s="191" t="s">
        <v>309</v>
      </c>
      <c r="D10" s="191" t="s">
        <v>308</v>
      </c>
      <c r="E10" s="215" t="s">
        <v>307</v>
      </c>
      <c r="F10" s="191" t="s">
        <v>123</v>
      </c>
      <c r="G10" s="194">
        <v>7</v>
      </c>
      <c r="H10" s="203" t="str">
        <f>IF(G10&lt;=0,"",IF(G10&lt;=2,"Muy Baja",IF(G10&lt;=24,"Baja",IF(G10&lt;=500,"Media",IF(G10&lt;=5000,"Alta","Muy Alta")))))</f>
        <v>Baja</v>
      </c>
      <c r="I10" s="206">
        <f>IF(H10="","",IF(H10="Muy Baja",0.2,IF(H10="Baja",0.4,IF(H10="Media",0.6,IF(H10="Alta",0.8,IF(H10="Muy Alta",1,))))))</f>
        <v>0.4</v>
      </c>
      <c r="J10" s="209" t="s">
        <v>155</v>
      </c>
      <c r="K10" s="206"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03"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06">
        <f ca="1">IF(L10="","",IF(L10="Leve",0.2,IF(L10="Menor",0.4,IF(L10="Moderado",0.6,IF(L10="Mayor",0.8,IF(L10="Catastrófico",1,))))))</f>
        <v>0.6</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310</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427</v>
      </c>
      <c r="AF10" s="133" t="s">
        <v>376</v>
      </c>
      <c r="AG10" s="135">
        <v>45291</v>
      </c>
      <c r="AH10" s="135">
        <v>45273</v>
      </c>
      <c r="AI10" s="133" t="s">
        <v>428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4"/>
      <c r="B15" s="193"/>
      <c r="C15" s="193"/>
      <c r="D15" s="193"/>
      <c r="E15" s="217"/>
      <c r="F15" s="193"/>
      <c r="G15" s="196"/>
      <c r="H15" s="205"/>
      <c r="I15" s="208"/>
      <c r="J15" s="211"/>
      <c r="K15" s="208">
        <f ca="1">IF(NOT(ISERROR(MATCH(J15,_xlfn.ANCHORARRAY(E26),0))),I28&amp;"Por favor no seleccionar los criterios de impacto",J15)</f>
        <v>0</v>
      </c>
      <c r="L15" s="205"/>
      <c r="M15" s="208"/>
      <c r="N15" s="199"/>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2">
        <v>2</v>
      </c>
      <c r="B16" s="191"/>
      <c r="C16" s="191"/>
      <c r="D16" s="250"/>
      <c r="E16" s="250"/>
      <c r="F16" s="191"/>
      <c r="G16" s="194"/>
      <c r="H16" s="203" t="str">
        <f>IF(G16&lt;=0,"",IF(G16&lt;=2,"Muy Baja",IF(G16&lt;=24,"Baja",IF(G16&lt;=500,"Media",IF(G16&lt;=5000,"Alta","Muy Alta")))))</f>
        <v/>
      </c>
      <c r="I16" s="206" t="str">
        <f>IF(H16="","",IF(H16="Muy Baja",0.2,IF(H16="Baja",0.4,IF(H16="Media",0.6,IF(H16="Alta",0.8,IF(H16="Muy Alta",1,))))))</f>
        <v/>
      </c>
      <c r="J16" s="209"/>
      <c r="K16" s="206">
        <f ca="1">IF(NOT(ISERROR(MATCH(J16,'Tabla Impacto'!$B$221:$B$223,0))),'Tabla Impacto'!$F$223&amp;"Por favor no seleccionar los criterios de impacto(Afectación Económica o presupuestal y Pérdida Reputacional)",J16)</f>
        <v>0</v>
      </c>
      <c r="L16" s="203" t="str">
        <f ca="1">IF(OR(K16='Tabla Impacto'!$C$11,K16='Tabla Impacto'!$D$11),"Leve",IF(OR(K16='Tabla Impacto'!$C$12,K16='Tabla Impacto'!$D$12),"Menor",IF(OR(K16='Tabla Impacto'!$C$13,K16='Tabla Impacto'!$D$13),"Moderado",IF(OR(K16='Tabla Impacto'!$C$14,K16='Tabla Impacto'!$D$14),"Mayor",IF(OR(K16='Tabla Impacto'!$C$15,K16='Tabla Impacto'!$D$15),"Catastrófico","")))))</f>
        <v/>
      </c>
      <c r="M16" s="206" t="str">
        <f ca="1">IF(L16="","",IF(L16="Leve",0.2,IF(L16="Menor",0.4,IF(L16="Moderado",0.6,IF(L16="Mayor",0.8,IF(L16="Catastrófico",1,))))))</f>
        <v/>
      </c>
      <c r="N16" s="19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251"/>
      <c r="E17" s="251"/>
      <c r="F17" s="192"/>
      <c r="G17" s="195"/>
      <c r="H17" s="204"/>
      <c r="I17" s="207"/>
      <c r="J17" s="210"/>
      <c r="K17" s="207">
        <f ca="1">IF(NOT(ISERROR(MATCH(J17,_xlfn.ANCHORARRAY(E28),0))),I30&amp;"Por favor no seleccionar los criterios de impacto",J17)</f>
        <v>0</v>
      </c>
      <c r="L17" s="204"/>
      <c r="M17" s="207"/>
      <c r="N17" s="198"/>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251"/>
      <c r="E18" s="251"/>
      <c r="F18" s="192"/>
      <c r="G18" s="195"/>
      <c r="H18" s="204"/>
      <c r="I18" s="207"/>
      <c r="J18" s="210"/>
      <c r="K18" s="207">
        <f ca="1">IF(NOT(ISERROR(MATCH(J18,_xlfn.ANCHORARRAY(E29),0))),I31&amp;"Por favor no seleccionar los criterios de impacto",J18)</f>
        <v>0</v>
      </c>
      <c r="L18" s="204"/>
      <c r="M18" s="207"/>
      <c r="N18" s="198"/>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250"/>
      <c r="E19" s="250"/>
      <c r="F19" s="192"/>
      <c r="G19" s="195"/>
      <c r="H19" s="204"/>
      <c r="I19" s="207"/>
      <c r="J19" s="210"/>
      <c r="K19" s="207">
        <f ca="1">IF(NOT(ISERROR(MATCH(J19,_xlfn.ANCHORARRAY(E30),0))),I32&amp;"Por favor no seleccionar los criterios de impacto",J19)</f>
        <v>0</v>
      </c>
      <c r="L19" s="204"/>
      <c r="M19" s="207"/>
      <c r="N19" s="198"/>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251"/>
      <c r="E20" s="251"/>
      <c r="F20" s="192"/>
      <c r="G20" s="195"/>
      <c r="H20" s="204"/>
      <c r="I20" s="207"/>
      <c r="J20" s="210"/>
      <c r="K20" s="207">
        <f ca="1">IF(NOT(ISERROR(MATCH(J20,_xlfn.ANCHORARRAY(E31),0))),I33&amp;"Por favor no seleccionar los criterios de impacto",J20)</f>
        <v>0</v>
      </c>
      <c r="L20" s="204"/>
      <c r="M20" s="207"/>
      <c r="N20" s="198"/>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4"/>
      <c r="B21" s="193"/>
      <c r="C21" s="193"/>
      <c r="D21" s="251"/>
      <c r="E21" s="251"/>
      <c r="F21" s="193"/>
      <c r="G21" s="196"/>
      <c r="H21" s="205"/>
      <c r="I21" s="208"/>
      <c r="J21" s="211"/>
      <c r="K21" s="208">
        <f ca="1">IF(NOT(ISERROR(MATCH(J21,_xlfn.ANCHORARRAY(E32),0))),I34&amp;"Por favor no seleccionar los criterios de impacto",J21)</f>
        <v>0</v>
      </c>
      <c r="L21" s="205"/>
      <c r="M21" s="208"/>
      <c r="N21" s="199"/>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2">
        <v>3</v>
      </c>
      <c r="B22" s="191"/>
      <c r="C22" s="191"/>
      <c r="D22" s="191"/>
      <c r="E22" s="215"/>
      <c r="F22" s="191"/>
      <c r="G22" s="194"/>
      <c r="H22" s="203" t="str">
        <f>IF(G22&lt;=0,"",IF(G22&lt;=2,"Muy Baja",IF(G22&lt;=24,"Baja",IF(G22&lt;=500,"Media",IF(G22&lt;=5000,"Alta","Muy Alta")))))</f>
        <v/>
      </c>
      <c r="I22" s="206" t="str">
        <f>IF(H22="","",IF(H22="Muy Baja",0.2,IF(H22="Baja",0.4,IF(H22="Media",0.6,IF(H22="Alta",0.8,IF(H22="Muy Alta",1,))))))</f>
        <v/>
      </c>
      <c r="J22" s="209"/>
      <c r="K22" s="206">
        <f ca="1">IF(NOT(ISERROR(MATCH(J22,'Tabla Impacto'!$B$221:$B$223,0))),'Tabla Impacto'!$F$223&amp;"Por favor no seleccionar los criterios de impacto(Afectación Económica o presupuestal y Pérdida Reputacional)",J22)</f>
        <v>0</v>
      </c>
      <c r="L22" s="203" t="str">
        <f ca="1">IF(OR(K22='Tabla Impacto'!$C$11,K22='Tabla Impacto'!$D$11),"Leve",IF(OR(K22='Tabla Impacto'!$C$12,K22='Tabla Impacto'!$D$12),"Menor",IF(OR(K22='Tabla Impacto'!$C$13,K22='Tabla Impacto'!$D$13),"Moderado",IF(OR(K22='Tabla Impacto'!$C$14,K22='Tabla Impacto'!$D$14),"Mayor",IF(OR(K22='Tabla Impacto'!$C$15,K22='Tabla Impacto'!$D$15),"Catastrófico","")))))</f>
        <v/>
      </c>
      <c r="M22" s="206" t="str">
        <f ca="1">IF(L22="","",IF(L22="Leve",0.2,IF(L22="Menor",0.4,IF(L22="Moderado",0.6,IF(L22="Mayor",0.8,IF(L22="Catastrófico",1,))))))</f>
        <v/>
      </c>
      <c r="N22" s="19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ref="K23:K27" ca="1" si="15">IF(NOT(ISERROR(MATCH(J23,_xlfn.ANCHORARRAY(E34),0))),I36&amp;"Por favor no seleccionar los criterios de impacto",J23)</f>
        <v>0</v>
      </c>
      <c r="L23" s="204"/>
      <c r="M23" s="207"/>
      <c r="N23" s="198"/>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15"/>
        <v>0</v>
      </c>
      <c r="L26" s="204"/>
      <c r="M26" s="207"/>
      <c r="N26" s="198"/>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4"/>
      <c r="B27" s="193"/>
      <c r="C27" s="193"/>
      <c r="D27" s="193"/>
      <c r="E27" s="217"/>
      <c r="F27" s="193"/>
      <c r="G27" s="196"/>
      <c r="H27" s="205"/>
      <c r="I27" s="208"/>
      <c r="J27" s="211"/>
      <c r="K27" s="208">
        <f t="shared" ca="1" si="15"/>
        <v>0</v>
      </c>
      <c r="L27" s="205"/>
      <c r="M27" s="208"/>
      <c r="N27" s="199"/>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2">
        <v>4</v>
      </c>
      <c r="B28" s="191"/>
      <c r="C28" s="191"/>
      <c r="D28" s="191"/>
      <c r="E28" s="215"/>
      <c r="F28" s="191"/>
      <c r="G28" s="194"/>
      <c r="H28" s="203" t="str">
        <f>IF(G28&lt;=0,"",IF(G28&lt;=2,"Muy Baja",IF(G28&lt;=24,"Baja",IF(G28&lt;=500,"Media",IF(G28&lt;=5000,"Alta","Muy Alta")))))</f>
        <v/>
      </c>
      <c r="I28" s="206" t="str">
        <f>IF(H28="","",IF(H28="Muy Baja",0.2,IF(H28="Baja",0.4,IF(H28="Media",0.6,IF(H28="Alta",0.8,IF(H28="Muy Alta",1,))))))</f>
        <v/>
      </c>
      <c r="J28" s="209"/>
      <c r="K28" s="206">
        <f ca="1">IF(NOT(ISERROR(MATCH(J28,'Tabla Impacto'!$B$221:$B$223,0))),'Tabla Impacto'!$F$223&amp;"Por favor no seleccionar los criterios de impacto(Afectación Económica o presupuestal y Pérdida Reputacional)",J28)</f>
        <v>0</v>
      </c>
      <c r="L28" s="203" t="str">
        <f ca="1">IF(OR(K28='Tabla Impacto'!$C$11,K28='Tabla Impacto'!$D$11),"Leve",IF(OR(K28='Tabla Impacto'!$C$12,K28='Tabla Impacto'!$D$12),"Menor",IF(OR(K28='Tabla Impacto'!$C$13,K28='Tabla Impacto'!$D$13),"Moderado",IF(OR(K28='Tabla Impacto'!$C$14,K28='Tabla Impacto'!$D$14),"Mayor",IF(OR(K28='Tabla Impacto'!$C$15,K28='Tabla Impacto'!$D$15),"Catastrófico","")))))</f>
        <v/>
      </c>
      <c r="M28" s="206" t="str">
        <f ca="1">IF(L28="","",IF(L28="Leve",0.2,IF(L28="Menor",0.4,IF(L28="Moderado",0.6,IF(L28="Mayor",0.8,IF(L28="Catastrófico",1,))))))</f>
        <v/>
      </c>
      <c r="N28" s="19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ref="K29:K33" ca="1" si="23">IF(NOT(ISERROR(MATCH(J29,_xlfn.ANCHORARRAY(E40),0))),I42&amp;"Por favor no seleccionar los criterios de impacto",J29)</f>
        <v>0</v>
      </c>
      <c r="L29" s="204"/>
      <c r="M29" s="207"/>
      <c r="N29" s="198"/>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3"/>
        <v>0</v>
      </c>
      <c r="L32" s="204"/>
      <c r="M32" s="207"/>
      <c r="N32" s="198"/>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4"/>
      <c r="B33" s="193"/>
      <c r="C33" s="193"/>
      <c r="D33" s="193"/>
      <c r="E33" s="217"/>
      <c r="F33" s="193"/>
      <c r="G33" s="196"/>
      <c r="H33" s="205"/>
      <c r="I33" s="208"/>
      <c r="J33" s="211"/>
      <c r="K33" s="208">
        <f t="shared" ca="1" si="23"/>
        <v>0</v>
      </c>
      <c r="L33" s="205"/>
      <c r="M33" s="208"/>
      <c r="N33" s="199"/>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2">
        <v>5</v>
      </c>
      <c r="B34" s="191"/>
      <c r="C34" s="191"/>
      <c r="D34" s="191"/>
      <c r="E34" s="215"/>
      <c r="F34" s="191"/>
      <c r="G34" s="194"/>
      <c r="H34" s="203" t="str">
        <f>IF(G34&lt;=0,"",IF(G34&lt;=2,"Muy Baja",IF(G34&lt;=24,"Baja",IF(G34&lt;=500,"Media",IF(G34&lt;=5000,"Alta","Muy Alta")))))</f>
        <v/>
      </c>
      <c r="I34" s="206" t="str">
        <f>IF(H34="","",IF(H34="Muy Baja",0.2,IF(H34="Baja",0.4,IF(H34="Media",0.6,IF(H34="Alta",0.8,IF(H34="Muy Alta",1,))))))</f>
        <v/>
      </c>
      <c r="J34" s="209"/>
      <c r="K34" s="206">
        <f ca="1">IF(NOT(ISERROR(MATCH(J34,'Tabla Impacto'!$B$221:$B$223,0))),'Tabla Impacto'!$F$223&amp;"Por favor no seleccionar los criterios de impacto(Afectación Económica o presupuestal y Pérdida Reputacional)",J34)</f>
        <v>0</v>
      </c>
      <c r="L34" s="203" t="str">
        <f ca="1">IF(OR(K34='Tabla Impacto'!$C$11,K34='Tabla Impacto'!$D$11),"Leve",IF(OR(K34='Tabla Impacto'!$C$12,K34='Tabla Impacto'!$D$12),"Menor",IF(OR(K34='Tabla Impacto'!$C$13,K34='Tabla Impacto'!$D$13),"Moderado",IF(OR(K34='Tabla Impacto'!$C$14,K34='Tabla Impacto'!$D$14),"Mayor",IF(OR(K34='Tabla Impacto'!$C$15,K34='Tabla Impacto'!$D$15),"Catastrófico","")))))</f>
        <v/>
      </c>
      <c r="M34" s="206" t="str">
        <f ca="1">IF(L34="","",IF(L34="Leve",0.2,IF(L34="Menor",0.4,IF(L34="Moderado",0.6,IF(L34="Mayor",0.8,IF(L34="Catastrófico",1,))))))</f>
        <v/>
      </c>
      <c r="N34" s="19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ref="K35:K39" ca="1" si="31">IF(NOT(ISERROR(MATCH(J35,_xlfn.ANCHORARRAY(E46),0))),I48&amp;"Por favor no seleccionar los criterios de impacto",J35)</f>
        <v>0</v>
      </c>
      <c r="L35" s="204"/>
      <c r="M35" s="207"/>
      <c r="N35" s="198"/>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1"/>
        <v>0</v>
      </c>
      <c r="L38" s="204"/>
      <c r="M38" s="207"/>
      <c r="N38" s="198"/>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4"/>
      <c r="B39" s="193"/>
      <c r="C39" s="193"/>
      <c r="D39" s="193"/>
      <c r="E39" s="217"/>
      <c r="F39" s="193"/>
      <c r="G39" s="196"/>
      <c r="H39" s="205"/>
      <c r="I39" s="208"/>
      <c r="J39" s="211"/>
      <c r="K39" s="208">
        <f t="shared" ca="1" si="31"/>
        <v>0</v>
      </c>
      <c r="L39" s="205"/>
      <c r="M39" s="208"/>
      <c r="N39" s="199"/>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2">
        <v>6</v>
      </c>
      <c r="B40" s="191"/>
      <c r="C40" s="191"/>
      <c r="D40" s="191"/>
      <c r="E40" s="215"/>
      <c r="F40" s="191"/>
      <c r="G40" s="194"/>
      <c r="H40" s="203" t="str">
        <f>IF(G40&lt;=0,"",IF(G40&lt;=2,"Muy Baja",IF(G40&lt;=24,"Baja",IF(G40&lt;=500,"Media",IF(G40&lt;=5000,"Alta","Muy Alta")))))</f>
        <v/>
      </c>
      <c r="I40" s="206" t="str">
        <f>IF(H40="","",IF(H40="Muy Baja",0.2,IF(H40="Baja",0.4,IF(H40="Media",0.6,IF(H40="Alta",0.8,IF(H40="Muy Alta",1,))))))</f>
        <v/>
      </c>
      <c r="J40" s="209"/>
      <c r="K40" s="206">
        <f ca="1">IF(NOT(ISERROR(MATCH(J40,'Tabla Impacto'!$B$221:$B$223,0))),'Tabla Impacto'!$F$223&amp;"Por favor no seleccionar los criterios de impacto(Afectación Económica o presupuestal y Pérdida Reputacional)",J40)</f>
        <v>0</v>
      </c>
      <c r="L40" s="203" t="str">
        <f ca="1">IF(OR(K40='Tabla Impacto'!$C$11,K40='Tabla Impacto'!$D$11),"Leve",IF(OR(K40='Tabla Impacto'!$C$12,K40='Tabla Impacto'!$D$12),"Menor",IF(OR(K40='Tabla Impacto'!$C$13,K40='Tabla Impacto'!$D$13),"Moderado",IF(OR(K40='Tabla Impacto'!$C$14,K40='Tabla Impacto'!$D$14),"Mayor",IF(OR(K40='Tabla Impacto'!$C$15,K40='Tabla Impacto'!$D$15),"Catastrófico","")))))</f>
        <v/>
      </c>
      <c r="M40" s="206" t="str">
        <f ca="1">IF(L40="","",IF(L40="Leve",0.2,IF(L40="Menor",0.4,IF(L40="Moderado",0.6,IF(L40="Mayor",0.8,IF(L40="Catastrófico",1,))))))</f>
        <v/>
      </c>
      <c r="N40" s="19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ref="K41:K45" ca="1" si="39">IF(NOT(ISERROR(MATCH(J41,_xlfn.ANCHORARRAY(E52),0))),I54&amp;"Por favor no seleccionar los criterios de impacto",J41)</f>
        <v>0</v>
      </c>
      <c r="L41" s="204"/>
      <c r="M41" s="207"/>
      <c r="N41" s="198"/>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39"/>
        <v>0</v>
      </c>
      <c r="L44" s="204"/>
      <c r="M44" s="207"/>
      <c r="N44" s="198"/>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4"/>
      <c r="B45" s="193"/>
      <c r="C45" s="193"/>
      <c r="D45" s="193"/>
      <c r="E45" s="217"/>
      <c r="F45" s="193"/>
      <c r="G45" s="196"/>
      <c r="H45" s="205"/>
      <c r="I45" s="208"/>
      <c r="J45" s="211"/>
      <c r="K45" s="208">
        <f t="shared" ca="1" si="39"/>
        <v>0</v>
      </c>
      <c r="L45" s="205"/>
      <c r="M45" s="208"/>
      <c r="N45" s="199"/>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2">
        <v>7</v>
      </c>
      <c r="B46" s="191"/>
      <c r="C46" s="191"/>
      <c r="D46" s="191"/>
      <c r="E46" s="215"/>
      <c r="F46" s="191"/>
      <c r="G46" s="194"/>
      <c r="H46" s="203" t="str">
        <f>IF(G46&lt;=0,"",IF(G46&lt;=2,"Muy Baja",IF(G46&lt;=24,"Baja",IF(G46&lt;=500,"Media",IF(G46&lt;=5000,"Alta","Muy Alta")))))</f>
        <v/>
      </c>
      <c r="I46" s="206" t="str">
        <f>IF(H46="","",IF(H46="Muy Baja",0.2,IF(H46="Baja",0.4,IF(H46="Media",0.6,IF(H46="Alta",0.8,IF(H46="Muy Alta",1,))))))</f>
        <v/>
      </c>
      <c r="J46" s="209"/>
      <c r="K46" s="206">
        <f ca="1">IF(NOT(ISERROR(MATCH(J46,'Tabla Impacto'!$B$221:$B$223,0))),'Tabla Impacto'!$F$223&amp;"Por favor no seleccionar los criterios de impacto(Afectación Económica o presupuestal y Pérdida Reputacional)",J46)</f>
        <v>0</v>
      </c>
      <c r="L46" s="203" t="str">
        <f ca="1">IF(OR(K46='Tabla Impacto'!$C$11,K46='Tabla Impacto'!$D$11),"Leve",IF(OR(K46='Tabla Impacto'!$C$12,K46='Tabla Impacto'!$D$12),"Menor",IF(OR(K46='Tabla Impacto'!$C$13,K46='Tabla Impacto'!$D$13),"Moderado",IF(OR(K46='Tabla Impacto'!$C$14,K46='Tabla Impacto'!$D$14),"Mayor",IF(OR(K46='Tabla Impacto'!$C$15,K46='Tabla Impacto'!$D$15),"Catastrófico","")))))</f>
        <v/>
      </c>
      <c r="M46" s="206" t="str">
        <f ca="1">IF(L46="","",IF(L46="Leve",0.2,IF(L46="Menor",0.4,IF(L46="Moderado",0.6,IF(L46="Mayor",0.8,IF(L46="Catastrófico",1,))))))</f>
        <v/>
      </c>
      <c r="N46" s="19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ref="K47:K51" ca="1" si="47">IF(NOT(ISERROR(MATCH(J47,_xlfn.ANCHORARRAY(E58),0))),I60&amp;"Por favor no seleccionar los criterios de impacto",J47)</f>
        <v>0</v>
      </c>
      <c r="L47" s="204"/>
      <c r="M47" s="207"/>
      <c r="N47" s="198"/>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t="shared" ca="1" si="47"/>
        <v>0</v>
      </c>
      <c r="L50" s="204"/>
      <c r="M50" s="207"/>
      <c r="N50" s="198"/>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4"/>
      <c r="B51" s="193"/>
      <c r="C51" s="193"/>
      <c r="D51" s="193"/>
      <c r="E51" s="217"/>
      <c r="F51" s="193"/>
      <c r="G51" s="196"/>
      <c r="H51" s="205"/>
      <c r="I51" s="208"/>
      <c r="J51" s="211"/>
      <c r="K51" s="208">
        <f t="shared" ca="1" si="47"/>
        <v>0</v>
      </c>
      <c r="L51" s="205"/>
      <c r="M51" s="208"/>
      <c r="N51" s="199"/>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2">
        <v>8</v>
      </c>
      <c r="B52" s="191"/>
      <c r="C52" s="191"/>
      <c r="D52" s="191"/>
      <c r="E52" s="215"/>
      <c r="F52" s="191"/>
      <c r="G52" s="194"/>
      <c r="H52" s="203" t="str">
        <f>IF(G52&lt;=0,"",IF(G52&lt;=2,"Muy Baja",IF(G52&lt;=24,"Baja",IF(G52&lt;=500,"Media",IF(G52&lt;=5000,"Alta","Muy Alta")))))</f>
        <v/>
      </c>
      <c r="I52" s="206" t="str">
        <f>IF(H52="","",IF(H52="Muy Baja",0.2,IF(H52="Baja",0.4,IF(H52="Media",0.6,IF(H52="Alta",0.8,IF(H52="Muy Alta",1,))))))</f>
        <v/>
      </c>
      <c r="J52" s="209"/>
      <c r="K52" s="206">
        <f ca="1">IF(NOT(ISERROR(MATCH(J52,'Tabla Impacto'!$B$221:$B$223,0))),'Tabla Impacto'!$F$223&amp;"Por favor no seleccionar los criterios de impacto(Afectación Económica o presupuestal y Pérdida Reputacional)",J52)</f>
        <v>0</v>
      </c>
      <c r="L52" s="203" t="str">
        <f ca="1">IF(OR(K52='Tabla Impacto'!$C$11,K52='Tabla Impacto'!$D$11),"Leve",IF(OR(K52='Tabla Impacto'!$C$12,K52='Tabla Impacto'!$D$12),"Menor",IF(OR(K52='Tabla Impacto'!$C$13,K52='Tabla Impacto'!$D$13),"Moderado",IF(OR(K52='Tabla Impacto'!$C$14,K52='Tabla Impacto'!$D$14),"Mayor",IF(OR(K52='Tabla Impacto'!$C$15,K52='Tabla Impacto'!$D$15),"Catastrófico","")))))</f>
        <v/>
      </c>
      <c r="M52" s="206" t="str">
        <f ca="1">IF(L52="","",IF(L52="Leve",0.2,IF(L52="Menor",0.4,IF(L52="Moderado",0.6,IF(L52="Mayor",0.8,IF(L52="Catastrófico",1,))))))</f>
        <v/>
      </c>
      <c r="N52" s="19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4"/>
      <c r="B57" s="193"/>
      <c r="C57" s="193"/>
      <c r="D57" s="193"/>
      <c r="E57" s="217"/>
      <c r="F57" s="193"/>
      <c r="G57" s="196"/>
      <c r="H57" s="205"/>
      <c r="I57" s="208"/>
      <c r="J57" s="211"/>
      <c r="K57" s="208">
        <f ca="1">IF(NOT(ISERROR(MATCH(J57,_xlfn.ANCHORARRAY(E68),0))),I70&amp;"Por favor no seleccionar los criterios de impacto",J57)</f>
        <v>0</v>
      </c>
      <c r="L57" s="205"/>
      <c r="M57" s="208"/>
      <c r="N57" s="199"/>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2">
        <v>9</v>
      </c>
      <c r="B58" s="191"/>
      <c r="C58" s="191"/>
      <c r="D58" s="191"/>
      <c r="E58" s="215"/>
      <c r="F58" s="191"/>
      <c r="G58" s="194"/>
      <c r="H58" s="203" t="str">
        <f>IF(G58&lt;=0,"",IF(G58&lt;=2,"Muy Baja",IF(G58&lt;=24,"Baja",IF(G58&lt;=500,"Media",IF(G58&lt;=5000,"Alta","Muy Alta")))))</f>
        <v/>
      </c>
      <c r="I58" s="206" t="str">
        <f>IF(H58="","",IF(H58="Muy Baja",0.2,IF(H58="Baja",0.4,IF(H58="Media",0.6,IF(H58="Alta",0.8,IF(H58="Muy Alta",1,))))))</f>
        <v/>
      </c>
      <c r="J58" s="209"/>
      <c r="K58" s="206">
        <f ca="1">IF(NOT(ISERROR(MATCH(J58,'Tabla Impacto'!$B$221:$B$223,0))),'Tabla Impacto'!$F$223&amp;"Por favor no seleccionar los criterios de impacto(Afectación Económica o presupuestal y Pérdida Reputacional)",J58)</f>
        <v>0</v>
      </c>
      <c r="L58" s="203" t="str">
        <f ca="1">IF(OR(K58='Tabla Impacto'!$C$11,K58='Tabla Impacto'!$D$11),"Leve",IF(OR(K58='Tabla Impacto'!$C$12,K58='Tabla Impacto'!$D$12),"Menor",IF(OR(K58='Tabla Impacto'!$C$13,K58='Tabla Impacto'!$D$13),"Moderado",IF(OR(K58='Tabla Impacto'!$C$14,K58='Tabla Impacto'!$D$14),"Mayor",IF(OR(K58='Tabla Impacto'!$C$15,K58='Tabla Impacto'!$D$15),"Catastrófico","")))))</f>
        <v/>
      </c>
      <c r="M58" s="206" t="str">
        <f ca="1">IF(L58="","",IF(L58="Leve",0.2,IF(L58="Menor",0.4,IF(L58="Moderado",0.6,IF(L58="Mayor",0.8,IF(L58="Catastrófico",1,))))))</f>
        <v/>
      </c>
      <c r="N58" s="19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4"/>
      <c r="B63" s="193"/>
      <c r="C63" s="193"/>
      <c r="D63" s="193"/>
      <c r="E63" s="217"/>
      <c r="F63" s="193"/>
      <c r="G63" s="196"/>
      <c r="H63" s="205"/>
      <c r="I63" s="208"/>
      <c r="J63" s="211"/>
      <c r="K63" s="208">
        <f ca="1">IF(NOT(ISERROR(MATCH(J63,_xlfn.ANCHORARRAY(E74),0))),I76&amp;"Por favor no seleccionar los criterios de impacto",J63)</f>
        <v>0</v>
      </c>
      <c r="L63" s="205"/>
      <c r="M63" s="208"/>
      <c r="N63" s="199"/>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2">
        <v>10</v>
      </c>
      <c r="B64" s="191"/>
      <c r="C64" s="191"/>
      <c r="D64" s="191"/>
      <c r="E64" s="215"/>
      <c r="F64" s="191"/>
      <c r="G64" s="194"/>
      <c r="H64" s="203" t="str">
        <f>IF(G64&lt;=0,"",IF(G64&lt;=2,"Muy Baja",IF(G64&lt;=24,"Baja",IF(G64&lt;=500,"Media",IF(G64&lt;=5000,"Alta","Muy Alta")))))</f>
        <v/>
      </c>
      <c r="I64" s="206" t="str">
        <f>IF(H64="","",IF(H64="Muy Baja",0.2,IF(H64="Baja",0.4,IF(H64="Media",0.6,IF(H64="Alta",0.8,IF(H64="Muy Alta",1,))))))</f>
        <v/>
      </c>
      <c r="J64" s="209"/>
      <c r="K64" s="206">
        <f ca="1">IF(NOT(ISERROR(MATCH(J64,'Tabla Impacto'!$B$221:$B$223,0))),'Tabla Impacto'!$F$223&amp;"Por favor no seleccionar los criterios de impacto(Afectación Económica o presupuestal y Pérdida Reputacional)",J64)</f>
        <v>0</v>
      </c>
      <c r="L64" s="203" t="str">
        <f ca="1">IF(OR(K64='Tabla Impacto'!$C$11,K64='Tabla Impacto'!$D$11),"Leve",IF(OR(K64='Tabla Impacto'!$C$12,K64='Tabla Impacto'!$D$12),"Menor",IF(OR(K64='Tabla Impacto'!$C$13,K64='Tabla Impacto'!$D$13),"Moderado",IF(OR(K64='Tabla Impacto'!$C$14,K64='Tabla Impacto'!$D$14),"Mayor",IF(OR(K64='Tabla Impacto'!$C$15,K64='Tabla Impacto'!$D$15),"Catastrófico","")))))</f>
        <v/>
      </c>
      <c r="M64" s="206" t="str">
        <f ca="1">IF(L64="","",IF(L64="Leve",0.2,IF(L64="Menor",0.4,IF(L64="Moderado",0.6,IF(L64="Mayor",0.8,IF(L64="Catastrófico",1,))))))</f>
        <v/>
      </c>
      <c r="N64" s="19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3"/>
      <c r="B68" s="192"/>
      <c r="C68" s="192"/>
      <c r="D68" s="192"/>
      <c r="E68" s="216"/>
      <c r="F68" s="192"/>
      <c r="G68" s="195"/>
      <c r="H68" s="204"/>
      <c r="I68" s="207"/>
      <c r="J68" s="210"/>
      <c r="K68" s="207">
        <f ca="1">IF(NOT(ISERROR(MATCH(J68,_xlfn.ANCHORARRAY(E79),0))),I81&amp;"Por favor no seleccionar los criterios de impacto",J68)</f>
        <v>0</v>
      </c>
      <c r="L68" s="204"/>
      <c r="M68" s="207"/>
      <c r="N68" s="198"/>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4"/>
      <c r="B69" s="193"/>
      <c r="C69" s="193"/>
      <c r="D69" s="193"/>
      <c r="E69" s="217"/>
      <c r="F69" s="193"/>
      <c r="G69" s="196"/>
      <c r="H69" s="205"/>
      <c r="I69" s="208"/>
      <c r="J69" s="211"/>
      <c r="K69" s="208">
        <f ca="1">IF(NOT(ISERROR(MATCH(J69,_xlfn.ANCHORARRAY(E80),0))),I82&amp;"Por favor no seleccionar los criterios de impacto",J69)</f>
        <v>0</v>
      </c>
      <c r="L69" s="205"/>
      <c r="M69" s="208"/>
      <c r="N69" s="199"/>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00" t="s">
        <v>131</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2"/>
    </row>
    <row r="72" spans="1:36" x14ac:dyDescent="0.3">
      <c r="A72" s="1"/>
      <c r="B72" s="24" t="s">
        <v>143</v>
      </c>
      <c r="C72" s="1"/>
      <c r="D72" s="1"/>
      <c r="F72" s="1"/>
    </row>
  </sheetData>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213" priority="101" operator="equal">
      <formula>"Muy Alta"</formula>
    </cfRule>
    <cfRule type="cellIs" dxfId="212" priority="102" operator="equal">
      <formula>"Alta"</formula>
    </cfRule>
    <cfRule type="cellIs" dxfId="211" priority="103" operator="equal">
      <formula>"Media"</formula>
    </cfRule>
    <cfRule type="cellIs" dxfId="210" priority="104" operator="equal">
      <formula>"Baja"</formula>
    </cfRule>
    <cfRule type="cellIs" dxfId="209" priority="105" operator="equal">
      <formula>"Muy Baja"</formula>
    </cfRule>
  </conditionalFormatting>
  <conditionalFormatting sqref="H22">
    <cfRule type="cellIs" dxfId="208" priority="83" operator="equal">
      <formula>"Muy Alta"</formula>
    </cfRule>
    <cfRule type="cellIs" dxfId="207" priority="84" operator="equal">
      <formula>"Alta"</formula>
    </cfRule>
    <cfRule type="cellIs" dxfId="206" priority="85" operator="equal">
      <formula>"Media"</formula>
    </cfRule>
    <cfRule type="cellIs" dxfId="205" priority="86" operator="equal">
      <formula>"Baja"</formula>
    </cfRule>
    <cfRule type="cellIs" dxfId="204" priority="87" operator="equal">
      <formula>"Muy Baja"</formula>
    </cfRule>
  </conditionalFormatting>
  <conditionalFormatting sqref="H28">
    <cfRule type="cellIs" dxfId="203" priority="74" operator="equal">
      <formula>"Muy Alta"</formula>
    </cfRule>
    <cfRule type="cellIs" dxfId="202" priority="75" operator="equal">
      <formula>"Alta"</formula>
    </cfRule>
    <cfRule type="cellIs" dxfId="201" priority="76" operator="equal">
      <formula>"Media"</formula>
    </cfRule>
    <cfRule type="cellIs" dxfId="200" priority="77" operator="equal">
      <formula>"Baja"</formula>
    </cfRule>
    <cfRule type="cellIs" dxfId="199" priority="78" operator="equal">
      <formula>"Muy Baja"</formula>
    </cfRule>
  </conditionalFormatting>
  <conditionalFormatting sqref="H34">
    <cfRule type="cellIs" dxfId="198" priority="65" operator="equal">
      <formula>"Muy Alta"</formula>
    </cfRule>
    <cfRule type="cellIs" dxfId="197" priority="66" operator="equal">
      <formula>"Alta"</formula>
    </cfRule>
    <cfRule type="cellIs" dxfId="196" priority="67" operator="equal">
      <formula>"Media"</formula>
    </cfRule>
    <cfRule type="cellIs" dxfId="195" priority="68" operator="equal">
      <formula>"Baja"</formula>
    </cfRule>
    <cfRule type="cellIs" dxfId="194" priority="69" operator="equal">
      <formula>"Muy Baja"</formula>
    </cfRule>
  </conditionalFormatting>
  <conditionalFormatting sqref="H40">
    <cfRule type="cellIs" dxfId="193" priority="56" operator="equal">
      <formula>"Muy Alta"</formula>
    </cfRule>
    <cfRule type="cellIs" dxfId="192" priority="57" operator="equal">
      <formula>"Alta"</formula>
    </cfRule>
    <cfRule type="cellIs" dxfId="191" priority="58" operator="equal">
      <formula>"Media"</formula>
    </cfRule>
    <cfRule type="cellIs" dxfId="190" priority="59" operator="equal">
      <formula>"Baja"</formula>
    </cfRule>
    <cfRule type="cellIs" dxfId="189" priority="60" operator="equal">
      <formula>"Muy Baja"</formula>
    </cfRule>
  </conditionalFormatting>
  <conditionalFormatting sqref="H46">
    <cfRule type="cellIs" dxfId="188" priority="47" operator="equal">
      <formula>"Muy Alta"</formula>
    </cfRule>
    <cfRule type="cellIs" dxfId="187" priority="48" operator="equal">
      <formula>"Alta"</formula>
    </cfRule>
    <cfRule type="cellIs" dxfId="186" priority="49" operator="equal">
      <formula>"Media"</formula>
    </cfRule>
    <cfRule type="cellIs" dxfId="185" priority="50" operator="equal">
      <formula>"Baja"</formula>
    </cfRule>
    <cfRule type="cellIs" dxfId="184" priority="51" operator="equal">
      <formula>"Muy Baja"</formula>
    </cfRule>
  </conditionalFormatting>
  <conditionalFormatting sqref="H52">
    <cfRule type="cellIs" dxfId="183" priority="38" operator="equal">
      <formula>"Muy Alta"</formula>
    </cfRule>
    <cfRule type="cellIs" dxfId="182" priority="39" operator="equal">
      <formula>"Alta"</formula>
    </cfRule>
    <cfRule type="cellIs" dxfId="181" priority="40" operator="equal">
      <formula>"Media"</formula>
    </cfRule>
    <cfRule type="cellIs" dxfId="180" priority="41" operator="equal">
      <formula>"Baja"</formula>
    </cfRule>
    <cfRule type="cellIs" dxfId="179" priority="42" operator="equal">
      <formula>"Muy Baja"</formula>
    </cfRule>
  </conditionalFormatting>
  <conditionalFormatting sqref="H58">
    <cfRule type="cellIs" dxfId="178" priority="29" operator="equal">
      <formula>"Muy Alta"</formula>
    </cfRule>
    <cfRule type="cellIs" dxfId="177" priority="30" operator="equal">
      <formula>"Alta"</formula>
    </cfRule>
    <cfRule type="cellIs" dxfId="176" priority="31" operator="equal">
      <formula>"Media"</formula>
    </cfRule>
    <cfRule type="cellIs" dxfId="175" priority="32" operator="equal">
      <formula>"Baja"</formula>
    </cfRule>
    <cfRule type="cellIs" dxfId="174" priority="33" operator="equal">
      <formula>"Muy Baja"</formula>
    </cfRule>
  </conditionalFormatting>
  <conditionalFormatting sqref="H64">
    <cfRule type="cellIs" dxfId="173" priority="20" operator="equal">
      <formula>"Muy Alta"</formula>
    </cfRule>
    <cfRule type="cellIs" dxfId="172" priority="21" operator="equal">
      <formula>"Alta"</formula>
    </cfRule>
    <cfRule type="cellIs" dxfId="171" priority="22" operator="equal">
      <formula>"Media"</formula>
    </cfRule>
    <cfRule type="cellIs" dxfId="170" priority="23" operator="equal">
      <formula>"Baja"</formula>
    </cfRule>
    <cfRule type="cellIs" dxfId="169" priority="24" operator="equal">
      <formula>"Muy Baja"</formula>
    </cfRule>
  </conditionalFormatting>
  <conditionalFormatting sqref="K10:K69">
    <cfRule type="containsText" dxfId="168" priority="1" operator="containsText" text="❌">
      <formula>NOT(ISERROR(SEARCH("❌",K10)))</formula>
    </cfRule>
  </conditionalFormatting>
  <conditionalFormatting sqref="L10 L16 L22 L28 L34 L40 L46 L52 L58 L64">
    <cfRule type="cellIs" dxfId="167" priority="96" operator="equal">
      <formula>"Catastrófico"</formula>
    </cfRule>
    <cfRule type="cellIs" dxfId="166" priority="97" operator="equal">
      <formula>"Mayor"</formula>
    </cfRule>
    <cfRule type="cellIs" dxfId="165" priority="98" operator="equal">
      <formula>"Moderado"</formula>
    </cfRule>
    <cfRule type="cellIs" dxfId="164" priority="99" operator="equal">
      <formula>"Menor"</formula>
    </cfRule>
    <cfRule type="cellIs" dxfId="163" priority="100" operator="equal">
      <formula>"Leve"</formula>
    </cfRule>
  </conditionalFormatting>
  <conditionalFormatting sqref="N10">
    <cfRule type="cellIs" dxfId="162" priority="92" operator="equal">
      <formula>"Extremo"</formula>
    </cfRule>
    <cfRule type="cellIs" dxfId="161" priority="93" operator="equal">
      <formula>"Alto"</formula>
    </cfRule>
    <cfRule type="cellIs" dxfId="160" priority="94" operator="equal">
      <formula>"Moderado"</formula>
    </cfRule>
    <cfRule type="cellIs" dxfId="159" priority="95" operator="equal">
      <formula>"Bajo"</formula>
    </cfRule>
  </conditionalFormatting>
  <conditionalFormatting sqref="N16">
    <cfRule type="cellIs" dxfId="158" priority="88" operator="equal">
      <formula>"Extremo"</formula>
    </cfRule>
    <cfRule type="cellIs" dxfId="157" priority="89" operator="equal">
      <formula>"Alto"</formula>
    </cfRule>
    <cfRule type="cellIs" dxfId="156" priority="90" operator="equal">
      <formula>"Moderado"</formula>
    </cfRule>
    <cfRule type="cellIs" dxfId="155" priority="91" operator="equal">
      <formula>"Bajo"</formula>
    </cfRule>
  </conditionalFormatting>
  <conditionalFormatting sqref="N22">
    <cfRule type="cellIs" dxfId="154" priority="79" operator="equal">
      <formula>"Extremo"</formula>
    </cfRule>
    <cfRule type="cellIs" dxfId="153" priority="80" operator="equal">
      <formula>"Alto"</formula>
    </cfRule>
    <cfRule type="cellIs" dxfId="152" priority="81" operator="equal">
      <formula>"Moderado"</formula>
    </cfRule>
    <cfRule type="cellIs" dxfId="151" priority="82" operator="equal">
      <formula>"Bajo"</formula>
    </cfRule>
  </conditionalFormatting>
  <conditionalFormatting sqref="N28">
    <cfRule type="cellIs" dxfId="150" priority="70" operator="equal">
      <formula>"Extremo"</formula>
    </cfRule>
    <cfRule type="cellIs" dxfId="149" priority="71" operator="equal">
      <formula>"Alto"</formula>
    </cfRule>
    <cfRule type="cellIs" dxfId="148" priority="72" operator="equal">
      <formula>"Moderado"</formula>
    </cfRule>
    <cfRule type="cellIs" dxfId="147" priority="73" operator="equal">
      <formula>"Bajo"</formula>
    </cfRule>
  </conditionalFormatting>
  <conditionalFormatting sqref="N34">
    <cfRule type="cellIs" dxfId="146" priority="61" operator="equal">
      <formula>"Extremo"</formula>
    </cfRule>
    <cfRule type="cellIs" dxfId="145" priority="62" operator="equal">
      <formula>"Alto"</formula>
    </cfRule>
    <cfRule type="cellIs" dxfId="144" priority="63" operator="equal">
      <formula>"Moderado"</formula>
    </cfRule>
    <cfRule type="cellIs" dxfId="143" priority="64" operator="equal">
      <formula>"Bajo"</formula>
    </cfRule>
  </conditionalFormatting>
  <conditionalFormatting sqref="N40">
    <cfRule type="cellIs" dxfId="142" priority="52" operator="equal">
      <formula>"Extremo"</formula>
    </cfRule>
    <cfRule type="cellIs" dxfId="141" priority="53" operator="equal">
      <formula>"Alto"</formula>
    </cfRule>
    <cfRule type="cellIs" dxfId="140" priority="54" operator="equal">
      <formula>"Moderado"</formula>
    </cfRule>
    <cfRule type="cellIs" dxfId="139" priority="55" operator="equal">
      <formula>"Bajo"</formula>
    </cfRule>
  </conditionalFormatting>
  <conditionalFormatting sqref="N46">
    <cfRule type="cellIs" dxfId="138" priority="43" operator="equal">
      <formula>"Extremo"</formula>
    </cfRule>
    <cfRule type="cellIs" dxfId="137" priority="44" operator="equal">
      <formula>"Alto"</formula>
    </cfRule>
    <cfRule type="cellIs" dxfId="136" priority="45" operator="equal">
      <formula>"Moderado"</formula>
    </cfRule>
    <cfRule type="cellIs" dxfId="135" priority="46" operator="equal">
      <formula>"Bajo"</formula>
    </cfRule>
  </conditionalFormatting>
  <conditionalFormatting sqref="N52">
    <cfRule type="cellIs" dxfId="134" priority="34" operator="equal">
      <formula>"Extremo"</formula>
    </cfRule>
    <cfRule type="cellIs" dxfId="133" priority="35" operator="equal">
      <formula>"Alto"</formula>
    </cfRule>
    <cfRule type="cellIs" dxfId="132" priority="36" operator="equal">
      <formula>"Moderado"</formula>
    </cfRule>
    <cfRule type="cellIs" dxfId="131" priority="37" operator="equal">
      <formula>"Bajo"</formula>
    </cfRule>
  </conditionalFormatting>
  <conditionalFormatting sqref="N58">
    <cfRule type="cellIs" dxfId="130" priority="25" operator="equal">
      <formula>"Extremo"</formula>
    </cfRule>
    <cfRule type="cellIs" dxfId="129" priority="26" operator="equal">
      <formula>"Alto"</formula>
    </cfRule>
    <cfRule type="cellIs" dxfId="128" priority="27" operator="equal">
      <formula>"Moderado"</formula>
    </cfRule>
    <cfRule type="cellIs" dxfId="127" priority="28" operator="equal">
      <formula>"Bajo"</formula>
    </cfRule>
  </conditionalFormatting>
  <conditionalFormatting sqref="N64">
    <cfRule type="cellIs" dxfId="126" priority="16" operator="equal">
      <formula>"Extremo"</formula>
    </cfRule>
    <cfRule type="cellIs" dxfId="125" priority="17" operator="equal">
      <formula>"Alto"</formula>
    </cfRule>
    <cfRule type="cellIs" dxfId="124" priority="18" operator="equal">
      <formula>"Moderado"</formula>
    </cfRule>
    <cfRule type="cellIs" dxfId="123" priority="19" operator="equal">
      <formula>"Bajo"</formula>
    </cfRule>
  </conditionalFormatting>
  <conditionalFormatting sqref="Y10:Y69">
    <cfRule type="cellIs" dxfId="122" priority="11" operator="equal">
      <formula>"Muy Alta"</formula>
    </cfRule>
    <cfRule type="cellIs" dxfId="121" priority="12" operator="equal">
      <formula>"Alta"</formula>
    </cfRule>
    <cfRule type="cellIs" dxfId="120" priority="13" operator="equal">
      <formula>"Media"</formula>
    </cfRule>
    <cfRule type="cellIs" dxfId="119" priority="14" operator="equal">
      <formula>"Baja"</formula>
    </cfRule>
    <cfRule type="cellIs" dxfId="118" priority="15" operator="equal">
      <formula>"Muy Baja"</formula>
    </cfRule>
  </conditionalFormatting>
  <conditionalFormatting sqref="AA10:AA69">
    <cfRule type="cellIs" dxfId="117" priority="6" operator="equal">
      <formula>"Catastrófico"</formula>
    </cfRule>
    <cfRule type="cellIs" dxfId="116" priority="7" operator="equal">
      <formula>"Mayor"</formula>
    </cfRule>
    <cfRule type="cellIs" dxfId="115" priority="8" operator="equal">
      <formula>"Moderado"</formula>
    </cfRule>
    <cfRule type="cellIs" dxfId="114" priority="9" operator="equal">
      <formula>"Menor"</formula>
    </cfRule>
    <cfRule type="cellIs" dxfId="113" priority="10" operator="equal">
      <formula>"Leve"</formula>
    </cfRule>
  </conditionalFormatting>
  <conditionalFormatting sqref="AC10:AC69">
    <cfRule type="cellIs" dxfId="112" priority="2" operator="equal">
      <formula>"Extremo"</formula>
    </cfRule>
    <cfRule type="cellIs" dxfId="111" priority="3" operator="equal">
      <formula>"Alto"</formula>
    </cfRule>
    <cfRule type="cellIs" dxfId="110" priority="4" operator="equal">
      <formula>"Moderado"</formula>
    </cfRule>
    <cfRule type="cellIs" dxfId="109"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FD69D41-1410-4FF8-AA4E-E162E7D62B08}">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9B9C80E9-4AD1-4F27-8F4A-14E71182679D}">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15CFC8F-353C-46EF-802B-056D7FB8FAA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2C679BD3-9904-47C4-8C38-4661BF34346B}">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3448119B-ECA2-4D5A-AAB6-2A8351C3A7B5}">
          <x14:formula1>
            <xm:f>IF(OR(AD10='Opciones Tratamiento'!$B$2,AD10='Opciones Tratamiento'!$B$3,AD10='Opciones Tratamiento'!$B$4),ISBLANK(AD10),ISTEXT(AD10))</xm:f>
          </x14:formula1>
          <xm:sqref>AE10:AE69</xm:sqref>
        </x14:dataValidation>
        <x14:dataValidation type="list" allowBlank="1" showInputMessage="1" showErrorMessage="1" xr:uid="{2315DE66-307B-4C72-BCDA-5C2CC61F04D8}">
          <x14:formula1>
            <xm:f>'Tabla Impacto'!$F$210:$F$221</xm:f>
          </x14:formula1>
          <xm:sqref>J10:J69</xm:sqref>
        </x14:dataValidation>
        <x14:dataValidation type="list" allowBlank="1" showInputMessage="1" showErrorMessage="1" xr:uid="{A8A54836-D482-4AD5-973C-D0EFC0209BC9}">
          <x14:formula1>
            <xm:f>'Opciones Tratamiento'!$B$2:$B$5</xm:f>
          </x14:formula1>
          <xm:sqref>AD10:AD69</xm:sqref>
        </x14:dataValidation>
        <x14:dataValidation type="list" allowBlank="1" showInputMessage="1" showErrorMessage="1" xr:uid="{EA6F42C0-3558-4B4D-ADF1-A6BE8459652D}">
          <x14:formula1>
            <xm:f>'Opciones Tratamiento'!$E$2:$E$4</xm:f>
          </x14:formula1>
          <xm:sqref>B10:B69</xm:sqref>
        </x14:dataValidation>
        <x14:dataValidation type="list" allowBlank="1" showInputMessage="1" showErrorMessage="1" xr:uid="{CCC1E758-1E6E-4300-B8A6-69787A425B9F}">
          <x14:formula1>
            <xm:f>'Opciones Tratamiento'!$B$13:$B$19</xm:f>
          </x14:formula1>
          <xm:sqref>F10:F69</xm:sqref>
        </x14:dataValidation>
        <x14:dataValidation type="list" allowBlank="1" showInputMessage="1" showErrorMessage="1" xr:uid="{9DA235A3-E3FB-463C-A8C3-FA9C858CC25B}">
          <x14:formula1>
            <xm:f>'Tabla Valoración controles'!$D$13:$D$14</xm:f>
          </x14:formula1>
          <xm:sqref>W10:W69</xm:sqref>
        </x14:dataValidation>
        <x14:dataValidation type="list" allowBlank="1" showInputMessage="1" showErrorMessage="1" xr:uid="{4250769D-7CB8-4612-9311-A635662A8009}">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90916C89-6232-4469-BB3D-4F3B7C374AA3}">
          <x14:formula1>
            <xm:f>'Tabla Valoración controles'!$D$11:$D$12</xm:f>
          </x14:formula1>
          <xm:sqref>V10:V69</xm:sqref>
        </x14:dataValidation>
        <x14:dataValidation type="list" allowBlank="1" showInputMessage="1" showErrorMessage="1" xr:uid="{2AD4F56D-5ED6-4D38-B7D2-58668C799EE4}">
          <x14:formula1>
            <xm:f>'Tabla Valoración controles'!$D$9:$D$10</xm:f>
          </x14:formula1>
          <xm:sqref>U10:U69</xm:sqref>
        </x14:dataValidation>
        <x14:dataValidation type="list" allowBlank="1" showInputMessage="1" showErrorMessage="1" xr:uid="{BB77EC78-F617-4941-B6E3-5267BD6E4EF6}">
          <x14:formula1>
            <xm:f>'Tabla Valoración controles'!$D$7:$D$8</xm:f>
          </x14:formula1>
          <xm:sqref>S10:S69</xm:sqref>
        </x14:dataValidation>
        <x14:dataValidation type="list" allowBlank="1" showInputMessage="1" showErrorMessage="1" xr:uid="{58C6EAFE-02E3-42ED-8F95-A076F5EBF1DE}">
          <x14:formula1>
            <xm:f>'Tabla Valoración controles'!$D$4:$D$6</xm:f>
          </x14:formula1>
          <xm:sqref>R10:R69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DC62F-4866-4D59-A985-A822A5452B7B}">
  <sheetPr>
    <tabColor rgb="FF7030A0"/>
  </sheetPr>
  <dimension ref="A1:BP72"/>
  <sheetViews>
    <sheetView tabSelected="1" topLeftCell="P7" zoomScale="53" zoomScaleNormal="53" workbookViewId="0">
      <selection activeCell="AH11" sqref="AH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364</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362</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363</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132</v>
      </c>
      <c r="C10" s="191" t="s">
        <v>238</v>
      </c>
      <c r="D10" s="191" t="s">
        <v>240</v>
      </c>
      <c r="E10" s="215" t="s">
        <v>239</v>
      </c>
      <c r="F10" s="191" t="s">
        <v>123</v>
      </c>
      <c r="G10" s="194">
        <v>24</v>
      </c>
      <c r="H10" s="203" t="str">
        <f>IF(G10&lt;=0,"",IF(G10&lt;=2,"Muy Baja",IF(G10&lt;=24,"Baja",IF(G10&lt;=500,"Media",IF(G10&lt;=5000,"Alta","Muy Alta")))))</f>
        <v>Baja</v>
      </c>
      <c r="I10" s="206">
        <f>IF(H10="","",IF(H10="Muy Baja",0.2,IF(H10="Baja",0.4,IF(H10="Media",0.6,IF(H10="Alta",0.8,IF(H10="Muy Alta",1,))))))</f>
        <v>0.4</v>
      </c>
      <c r="J10" s="209" t="s">
        <v>155</v>
      </c>
      <c r="K10" s="206"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03"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06">
        <f ca="1">IF(L10="","",IF(L10="Leve",0.2,IF(L10="Menor",0.4,IF(L10="Moderado",0.6,IF(L10="Mayor",0.8,IF(L10="Catastrófico",1,))))))</f>
        <v>0.6</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244</v>
      </c>
      <c r="AF10" s="133" t="s">
        <v>243</v>
      </c>
      <c r="AG10" s="135">
        <v>45291</v>
      </c>
      <c r="AH10" s="135">
        <v>45273</v>
      </c>
      <c r="AI10" s="133" t="s">
        <v>322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2</v>
      </c>
      <c r="P11" s="124" t="s">
        <v>242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245</v>
      </c>
      <c r="AF11" s="134" t="s">
        <v>246</v>
      </c>
      <c r="AG11" s="135">
        <v>45291</v>
      </c>
      <c r="AH11" s="135">
        <v>45273</v>
      </c>
      <c r="AI11" s="133" t="s">
        <v>374</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3"/>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4"/>
      <c r="B15" s="193"/>
      <c r="C15" s="193"/>
      <c r="D15" s="193"/>
      <c r="E15" s="217"/>
      <c r="F15" s="193"/>
      <c r="G15" s="196"/>
      <c r="H15" s="205"/>
      <c r="I15" s="208"/>
      <c r="J15" s="211"/>
      <c r="K15" s="208">
        <f ca="1">IF(NOT(ISERROR(MATCH(J15,_xlfn.ANCHORARRAY(E26),0))),I28&amp;"Por favor no seleccionar los criterios de impacto",J15)</f>
        <v>0</v>
      </c>
      <c r="L15" s="205"/>
      <c r="M15" s="208"/>
      <c r="N15" s="199"/>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2">
        <v>2</v>
      </c>
      <c r="B16" s="191"/>
      <c r="C16" s="191"/>
      <c r="D16" s="250"/>
      <c r="E16" s="250"/>
      <c r="F16" s="191"/>
      <c r="G16" s="194"/>
      <c r="H16" s="203" t="str">
        <f>IF(G16&lt;=0,"",IF(G16&lt;=2,"Muy Baja",IF(G16&lt;=24,"Baja",IF(G16&lt;=500,"Media",IF(G16&lt;=5000,"Alta","Muy Alta")))))</f>
        <v/>
      </c>
      <c r="I16" s="206" t="str">
        <f>IF(H16="","",IF(H16="Muy Baja",0.2,IF(H16="Baja",0.4,IF(H16="Media",0.6,IF(H16="Alta",0.8,IF(H16="Muy Alta",1,))))))</f>
        <v/>
      </c>
      <c r="J16" s="209"/>
      <c r="K16" s="206">
        <f ca="1">IF(NOT(ISERROR(MATCH(J16,'Tabla Impacto'!$B$221:$B$223,0))),'Tabla Impacto'!$F$223&amp;"Por favor no seleccionar los criterios de impacto(Afectación Económica o presupuestal y Pérdida Reputacional)",J16)</f>
        <v>0</v>
      </c>
      <c r="L16" s="203" t="str">
        <f ca="1">IF(OR(K16='Tabla Impacto'!$C$11,K16='Tabla Impacto'!$D$11),"Leve",IF(OR(K16='Tabla Impacto'!$C$12,K16='Tabla Impacto'!$D$12),"Menor",IF(OR(K16='Tabla Impacto'!$C$13,K16='Tabla Impacto'!$D$13),"Moderado",IF(OR(K16='Tabla Impacto'!$C$14,K16='Tabla Impacto'!$D$14),"Mayor",IF(OR(K16='Tabla Impacto'!$C$15,K16='Tabla Impacto'!$D$15),"Catastrófico","")))))</f>
        <v/>
      </c>
      <c r="M16" s="206" t="str">
        <f ca="1">IF(L16="","",IF(L16="Leve",0.2,IF(L16="Menor",0.4,IF(L16="Moderado",0.6,IF(L16="Mayor",0.8,IF(L16="Catastrófico",1,))))))</f>
        <v/>
      </c>
      <c r="N16" s="19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251"/>
      <c r="E17" s="251"/>
      <c r="F17" s="192"/>
      <c r="G17" s="195"/>
      <c r="H17" s="204"/>
      <c r="I17" s="207"/>
      <c r="J17" s="210"/>
      <c r="K17" s="207">
        <f ca="1">IF(NOT(ISERROR(MATCH(J17,_xlfn.ANCHORARRAY(E28),0))),I30&amp;"Por favor no seleccionar los criterios de impacto",J17)</f>
        <v>0</v>
      </c>
      <c r="L17" s="204"/>
      <c r="M17" s="207"/>
      <c r="N17" s="198"/>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251"/>
      <c r="E18" s="251"/>
      <c r="F18" s="192"/>
      <c r="G18" s="195"/>
      <c r="H18" s="204"/>
      <c r="I18" s="207"/>
      <c r="J18" s="210"/>
      <c r="K18" s="207">
        <f ca="1">IF(NOT(ISERROR(MATCH(J18,_xlfn.ANCHORARRAY(E29),0))),I31&amp;"Por favor no seleccionar los criterios de impacto",J18)</f>
        <v>0</v>
      </c>
      <c r="L18" s="204"/>
      <c r="M18" s="207"/>
      <c r="N18" s="198"/>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250"/>
      <c r="E19" s="250"/>
      <c r="F19" s="192"/>
      <c r="G19" s="195"/>
      <c r="H19" s="204"/>
      <c r="I19" s="207"/>
      <c r="J19" s="210"/>
      <c r="K19" s="207">
        <f ca="1">IF(NOT(ISERROR(MATCH(J19,_xlfn.ANCHORARRAY(E30),0))),I32&amp;"Por favor no seleccionar los criterios de impacto",J19)</f>
        <v>0</v>
      </c>
      <c r="L19" s="204"/>
      <c r="M19" s="207"/>
      <c r="N19" s="198"/>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251"/>
      <c r="E20" s="251"/>
      <c r="F20" s="192"/>
      <c r="G20" s="195"/>
      <c r="H20" s="204"/>
      <c r="I20" s="207"/>
      <c r="J20" s="210"/>
      <c r="K20" s="207">
        <f ca="1">IF(NOT(ISERROR(MATCH(J20,_xlfn.ANCHORARRAY(E31),0))),I33&amp;"Por favor no seleccionar los criterios de impacto",J20)</f>
        <v>0</v>
      </c>
      <c r="L20" s="204"/>
      <c r="M20" s="207"/>
      <c r="N20" s="198"/>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4"/>
      <c r="B21" s="193"/>
      <c r="C21" s="193"/>
      <c r="D21" s="251"/>
      <c r="E21" s="251"/>
      <c r="F21" s="193"/>
      <c r="G21" s="196"/>
      <c r="H21" s="205"/>
      <c r="I21" s="208"/>
      <c r="J21" s="211"/>
      <c r="K21" s="208">
        <f ca="1">IF(NOT(ISERROR(MATCH(J21,_xlfn.ANCHORARRAY(E32),0))),I34&amp;"Por favor no seleccionar los criterios de impacto",J21)</f>
        <v>0</v>
      </c>
      <c r="L21" s="205"/>
      <c r="M21" s="208"/>
      <c r="N21" s="199"/>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2">
        <v>3</v>
      </c>
      <c r="B22" s="191"/>
      <c r="C22" s="191"/>
      <c r="D22" s="191"/>
      <c r="E22" s="215"/>
      <c r="F22" s="191"/>
      <c r="G22" s="194"/>
      <c r="H22" s="203" t="str">
        <f>IF(G22&lt;=0,"",IF(G22&lt;=2,"Muy Baja",IF(G22&lt;=24,"Baja",IF(G22&lt;=500,"Media",IF(G22&lt;=5000,"Alta","Muy Alta")))))</f>
        <v/>
      </c>
      <c r="I22" s="206" t="str">
        <f>IF(H22="","",IF(H22="Muy Baja",0.2,IF(H22="Baja",0.4,IF(H22="Media",0.6,IF(H22="Alta",0.8,IF(H22="Muy Alta",1,))))))</f>
        <v/>
      </c>
      <c r="J22" s="209"/>
      <c r="K22" s="206">
        <f ca="1">IF(NOT(ISERROR(MATCH(J22,'Tabla Impacto'!$B$221:$B$223,0))),'Tabla Impacto'!$F$223&amp;"Por favor no seleccionar los criterios de impacto(Afectación Económica o presupuestal y Pérdida Reputacional)",J22)</f>
        <v>0</v>
      </c>
      <c r="L22" s="203" t="str">
        <f ca="1">IF(OR(K22='Tabla Impacto'!$C$11,K22='Tabla Impacto'!$D$11),"Leve",IF(OR(K22='Tabla Impacto'!$C$12,K22='Tabla Impacto'!$D$12),"Menor",IF(OR(K22='Tabla Impacto'!$C$13,K22='Tabla Impacto'!$D$13),"Moderado",IF(OR(K22='Tabla Impacto'!$C$14,K22='Tabla Impacto'!$D$14),"Mayor",IF(OR(K22='Tabla Impacto'!$C$15,K22='Tabla Impacto'!$D$15),"Catastrófico","")))))</f>
        <v/>
      </c>
      <c r="M22" s="206" t="str">
        <f ca="1">IF(L22="","",IF(L22="Leve",0.2,IF(L22="Menor",0.4,IF(L22="Moderado",0.6,IF(L22="Mayor",0.8,IF(L22="Catastrófico",1,))))))</f>
        <v/>
      </c>
      <c r="N22" s="19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ref="K23:K27" ca="1" si="15">IF(NOT(ISERROR(MATCH(J23,_xlfn.ANCHORARRAY(E34),0))),I36&amp;"Por favor no seleccionar los criterios de impacto",J23)</f>
        <v>0</v>
      </c>
      <c r="L23" s="204"/>
      <c r="M23" s="207"/>
      <c r="N23" s="198"/>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15"/>
        <v>0</v>
      </c>
      <c r="L26" s="204"/>
      <c r="M26" s="207"/>
      <c r="N26" s="198"/>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4"/>
      <c r="B27" s="193"/>
      <c r="C27" s="193"/>
      <c r="D27" s="193"/>
      <c r="E27" s="217"/>
      <c r="F27" s="193"/>
      <c r="G27" s="196"/>
      <c r="H27" s="205"/>
      <c r="I27" s="208"/>
      <c r="J27" s="211"/>
      <c r="K27" s="208">
        <f t="shared" ca="1" si="15"/>
        <v>0</v>
      </c>
      <c r="L27" s="205"/>
      <c r="M27" s="208"/>
      <c r="N27" s="199"/>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2">
        <v>4</v>
      </c>
      <c r="B28" s="191"/>
      <c r="C28" s="191"/>
      <c r="D28" s="191"/>
      <c r="E28" s="215"/>
      <c r="F28" s="191"/>
      <c r="G28" s="194"/>
      <c r="H28" s="203" t="str">
        <f>IF(G28&lt;=0,"",IF(G28&lt;=2,"Muy Baja",IF(G28&lt;=24,"Baja",IF(G28&lt;=500,"Media",IF(G28&lt;=5000,"Alta","Muy Alta")))))</f>
        <v/>
      </c>
      <c r="I28" s="206" t="str">
        <f>IF(H28="","",IF(H28="Muy Baja",0.2,IF(H28="Baja",0.4,IF(H28="Media",0.6,IF(H28="Alta",0.8,IF(H28="Muy Alta",1,))))))</f>
        <v/>
      </c>
      <c r="J28" s="209"/>
      <c r="K28" s="206">
        <f ca="1">IF(NOT(ISERROR(MATCH(J28,'Tabla Impacto'!$B$221:$B$223,0))),'Tabla Impacto'!$F$223&amp;"Por favor no seleccionar los criterios de impacto(Afectación Económica o presupuestal y Pérdida Reputacional)",J28)</f>
        <v>0</v>
      </c>
      <c r="L28" s="203" t="str">
        <f ca="1">IF(OR(K28='Tabla Impacto'!$C$11,K28='Tabla Impacto'!$D$11),"Leve",IF(OR(K28='Tabla Impacto'!$C$12,K28='Tabla Impacto'!$D$12),"Menor",IF(OR(K28='Tabla Impacto'!$C$13,K28='Tabla Impacto'!$D$13),"Moderado",IF(OR(K28='Tabla Impacto'!$C$14,K28='Tabla Impacto'!$D$14),"Mayor",IF(OR(K28='Tabla Impacto'!$C$15,K28='Tabla Impacto'!$D$15),"Catastrófico","")))))</f>
        <v/>
      </c>
      <c r="M28" s="206" t="str">
        <f ca="1">IF(L28="","",IF(L28="Leve",0.2,IF(L28="Menor",0.4,IF(L28="Moderado",0.6,IF(L28="Mayor",0.8,IF(L28="Catastrófico",1,))))))</f>
        <v/>
      </c>
      <c r="N28" s="19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ref="K29:K33" ca="1" si="23">IF(NOT(ISERROR(MATCH(J29,_xlfn.ANCHORARRAY(E40),0))),I42&amp;"Por favor no seleccionar los criterios de impacto",J29)</f>
        <v>0</v>
      </c>
      <c r="L29" s="204"/>
      <c r="M29" s="207"/>
      <c r="N29" s="198"/>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3"/>
        <v>0</v>
      </c>
      <c r="L32" s="204"/>
      <c r="M32" s="207"/>
      <c r="N32" s="198"/>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4"/>
      <c r="B33" s="193"/>
      <c r="C33" s="193"/>
      <c r="D33" s="193"/>
      <c r="E33" s="217"/>
      <c r="F33" s="193"/>
      <c r="G33" s="196"/>
      <c r="H33" s="205"/>
      <c r="I33" s="208"/>
      <c r="J33" s="211"/>
      <c r="K33" s="208">
        <f t="shared" ca="1" si="23"/>
        <v>0</v>
      </c>
      <c r="L33" s="205"/>
      <c r="M33" s="208"/>
      <c r="N33" s="199"/>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2">
        <v>5</v>
      </c>
      <c r="B34" s="191"/>
      <c r="C34" s="191"/>
      <c r="D34" s="191"/>
      <c r="E34" s="215"/>
      <c r="F34" s="191"/>
      <c r="G34" s="194"/>
      <c r="H34" s="203" t="str">
        <f>IF(G34&lt;=0,"",IF(G34&lt;=2,"Muy Baja",IF(G34&lt;=24,"Baja",IF(G34&lt;=500,"Media",IF(G34&lt;=5000,"Alta","Muy Alta")))))</f>
        <v/>
      </c>
      <c r="I34" s="206" t="str">
        <f>IF(H34="","",IF(H34="Muy Baja",0.2,IF(H34="Baja",0.4,IF(H34="Media",0.6,IF(H34="Alta",0.8,IF(H34="Muy Alta",1,))))))</f>
        <v/>
      </c>
      <c r="J34" s="209"/>
      <c r="K34" s="206">
        <f ca="1">IF(NOT(ISERROR(MATCH(J34,'Tabla Impacto'!$B$221:$B$223,0))),'Tabla Impacto'!$F$223&amp;"Por favor no seleccionar los criterios de impacto(Afectación Económica o presupuestal y Pérdida Reputacional)",J34)</f>
        <v>0</v>
      </c>
      <c r="L34" s="203" t="str">
        <f ca="1">IF(OR(K34='Tabla Impacto'!$C$11,K34='Tabla Impacto'!$D$11),"Leve",IF(OR(K34='Tabla Impacto'!$C$12,K34='Tabla Impacto'!$D$12),"Menor",IF(OR(K34='Tabla Impacto'!$C$13,K34='Tabla Impacto'!$D$13),"Moderado",IF(OR(K34='Tabla Impacto'!$C$14,K34='Tabla Impacto'!$D$14),"Mayor",IF(OR(K34='Tabla Impacto'!$C$15,K34='Tabla Impacto'!$D$15),"Catastrófico","")))))</f>
        <v/>
      </c>
      <c r="M34" s="206" t="str">
        <f ca="1">IF(L34="","",IF(L34="Leve",0.2,IF(L34="Menor",0.4,IF(L34="Moderado",0.6,IF(L34="Mayor",0.8,IF(L34="Catastrófico",1,))))))</f>
        <v/>
      </c>
      <c r="N34" s="19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ref="K35:K39" ca="1" si="31">IF(NOT(ISERROR(MATCH(J35,_xlfn.ANCHORARRAY(E46),0))),I48&amp;"Por favor no seleccionar los criterios de impacto",J35)</f>
        <v>0</v>
      </c>
      <c r="L35" s="204"/>
      <c r="M35" s="207"/>
      <c r="N35" s="198"/>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1"/>
        <v>0</v>
      </c>
      <c r="L38" s="204"/>
      <c r="M38" s="207"/>
      <c r="N38" s="198"/>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4"/>
      <c r="B39" s="193"/>
      <c r="C39" s="193"/>
      <c r="D39" s="193"/>
      <c r="E39" s="217"/>
      <c r="F39" s="193"/>
      <c r="G39" s="196"/>
      <c r="H39" s="205"/>
      <c r="I39" s="208"/>
      <c r="J39" s="211"/>
      <c r="K39" s="208">
        <f t="shared" ca="1" si="31"/>
        <v>0</v>
      </c>
      <c r="L39" s="205"/>
      <c r="M39" s="208"/>
      <c r="N39" s="199"/>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2">
        <v>6</v>
      </c>
      <c r="B40" s="191"/>
      <c r="C40" s="191"/>
      <c r="D40" s="191"/>
      <c r="E40" s="215"/>
      <c r="F40" s="191"/>
      <c r="G40" s="194"/>
      <c r="H40" s="203" t="str">
        <f>IF(G40&lt;=0,"",IF(G40&lt;=2,"Muy Baja",IF(G40&lt;=24,"Baja",IF(G40&lt;=500,"Media",IF(G40&lt;=5000,"Alta","Muy Alta")))))</f>
        <v/>
      </c>
      <c r="I40" s="206" t="str">
        <f>IF(H40="","",IF(H40="Muy Baja",0.2,IF(H40="Baja",0.4,IF(H40="Media",0.6,IF(H40="Alta",0.8,IF(H40="Muy Alta",1,))))))</f>
        <v/>
      </c>
      <c r="J40" s="209"/>
      <c r="K40" s="206">
        <f ca="1">IF(NOT(ISERROR(MATCH(J40,'Tabla Impacto'!$B$221:$B$223,0))),'Tabla Impacto'!$F$223&amp;"Por favor no seleccionar los criterios de impacto(Afectación Económica o presupuestal y Pérdida Reputacional)",J40)</f>
        <v>0</v>
      </c>
      <c r="L40" s="203" t="str">
        <f ca="1">IF(OR(K40='Tabla Impacto'!$C$11,K40='Tabla Impacto'!$D$11),"Leve",IF(OR(K40='Tabla Impacto'!$C$12,K40='Tabla Impacto'!$D$12),"Menor",IF(OR(K40='Tabla Impacto'!$C$13,K40='Tabla Impacto'!$D$13),"Moderado",IF(OR(K40='Tabla Impacto'!$C$14,K40='Tabla Impacto'!$D$14),"Mayor",IF(OR(K40='Tabla Impacto'!$C$15,K40='Tabla Impacto'!$D$15),"Catastrófico","")))))</f>
        <v/>
      </c>
      <c r="M40" s="206" t="str">
        <f ca="1">IF(L40="","",IF(L40="Leve",0.2,IF(L40="Menor",0.4,IF(L40="Moderado",0.6,IF(L40="Mayor",0.8,IF(L40="Catastrófico",1,))))))</f>
        <v/>
      </c>
      <c r="N40" s="19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ref="K41:K45" ca="1" si="39">IF(NOT(ISERROR(MATCH(J41,_xlfn.ANCHORARRAY(E52),0))),I54&amp;"Por favor no seleccionar los criterios de impacto",J41)</f>
        <v>0</v>
      </c>
      <c r="L41" s="204"/>
      <c r="M41" s="207"/>
      <c r="N41" s="198"/>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39"/>
        <v>0</v>
      </c>
      <c r="L44" s="204"/>
      <c r="M44" s="207"/>
      <c r="N44" s="198"/>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4"/>
      <c r="B45" s="193"/>
      <c r="C45" s="193"/>
      <c r="D45" s="193"/>
      <c r="E45" s="217"/>
      <c r="F45" s="193"/>
      <c r="G45" s="196"/>
      <c r="H45" s="205"/>
      <c r="I45" s="208"/>
      <c r="J45" s="211"/>
      <c r="K45" s="208">
        <f t="shared" ca="1" si="39"/>
        <v>0</v>
      </c>
      <c r="L45" s="205"/>
      <c r="M45" s="208"/>
      <c r="N45" s="199"/>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2">
        <v>7</v>
      </c>
      <c r="B46" s="191"/>
      <c r="C46" s="191"/>
      <c r="D46" s="191"/>
      <c r="E46" s="215"/>
      <c r="F46" s="191"/>
      <c r="G46" s="194"/>
      <c r="H46" s="203" t="str">
        <f>IF(G46&lt;=0,"",IF(G46&lt;=2,"Muy Baja",IF(G46&lt;=24,"Baja",IF(G46&lt;=500,"Media",IF(G46&lt;=5000,"Alta","Muy Alta")))))</f>
        <v/>
      </c>
      <c r="I46" s="206" t="str">
        <f>IF(H46="","",IF(H46="Muy Baja",0.2,IF(H46="Baja",0.4,IF(H46="Media",0.6,IF(H46="Alta",0.8,IF(H46="Muy Alta",1,))))))</f>
        <v/>
      </c>
      <c r="J46" s="209"/>
      <c r="K46" s="206">
        <f ca="1">IF(NOT(ISERROR(MATCH(J46,'Tabla Impacto'!$B$221:$B$223,0))),'Tabla Impacto'!$F$223&amp;"Por favor no seleccionar los criterios de impacto(Afectación Económica o presupuestal y Pérdida Reputacional)",J46)</f>
        <v>0</v>
      </c>
      <c r="L46" s="203" t="str">
        <f ca="1">IF(OR(K46='Tabla Impacto'!$C$11,K46='Tabla Impacto'!$D$11),"Leve",IF(OR(K46='Tabla Impacto'!$C$12,K46='Tabla Impacto'!$D$12),"Menor",IF(OR(K46='Tabla Impacto'!$C$13,K46='Tabla Impacto'!$D$13),"Moderado",IF(OR(K46='Tabla Impacto'!$C$14,K46='Tabla Impacto'!$D$14),"Mayor",IF(OR(K46='Tabla Impacto'!$C$15,K46='Tabla Impacto'!$D$15),"Catastrófico","")))))</f>
        <v/>
      </c>
      <c r="M46" s="206" t="str">
        <f ca="1">IF(L46="","",IF(L46="Leve",0.2,IF(L46="Menor",0.4,IF(L46="Moderado",0.6,IF(L46="Mayor",0.8,IF(L46="Catastrófico",1,))))))</f>
        <v/>
      </c>
      <c r="N46" s="19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ref="K47:K51" ca="1" si="47">IF(NOT(ISERROR(MATCH(J47,_xlfn.ANCHORARRAY(E58),0))),I60&amp;"Por favor no seleccionar los criterios de impacto",J47)</f>
        <v>0</v>
      </c>
      <c r="L47" s="204"/>
      <c r="M47" s="207"/>
      <c r="N47" s="198"/>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t="shared" ca="1" si="47"/>
        <v>0</v>
      </c>
      <c r="L50" s="204"/>
      <c r="M50" s="207"/>
      <c r="N50" s="198"/>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4"/>
      <c r="B51" s="193"/>
      <c r="C51" s="193"/>
      <c r="D51" s="193"/>
      <c r="E51" s="217"/>
      <c r="F51" s="193"/>
      <c r="G51" s="196"/>
      <c r="H51" s="205"/>
      <c r="I51" s="208"/>
      <c r="J51" s="211"/>
      <c r="K51" s="208">
        <f t="shared" ca="1" si="47"/>
        <v>0</v>
      </c>
      <c r="L51" s="205"/>
      <c r="M51" s="208"/>
      <c r="N51" s="199"/>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2">
        <v>8</v>
      </c>
      <c r="B52" s="191"/>
      <c r="C52" s="191"/>
      <c r="D52" s="191"/>
      <c r="E52" s="215"/>
      <c r="F52" s="191"/>
      <c r="G52" s="194"/>
      <c r="H52" s="203" t="str">
        <f>IF(G52&lt;=0,"",IF(G52&lt;=2,"Muy Baja",IF(G52&lt;=24,"Baja",IF(G52&lt;=500,"Media",IF(G52&lt;=5000,"Alta","Muy Alta")))))</f>
        <v/>
      </c>
      <c r="I52" s="206" t="str">
        <f>IF(H52="","",IF(H52="Muy Baja",0.2,IF(H52="Baja",0.4,IF(H52="Media",0.6,IF(H52="Alta",0.8,IF(H52="Muy Alta",1,))))))</f>
        <v/>
      </c>
      <c r="J52" s="209"/>
      <c r="K52" s="206">
        <f ca="1">IF(NOT(ISERROR(MATCH(J52,'Tabla Impacto'!$B$221:$B$223,0))),'Tabla Impacto'!$F$223&amp;"Por favor no seleccionar los criterios de impacto(Afectación Económica o presupuestal y Pérdida Reputacional)",J52)</f>
        <v>0</v>
      </c>
      <c r="L52" s="203" t="str">
        <f ca="1">IF(OR(K52='Tabla Impacto'!$C$11,K52='Tabla Impacto'!$D$11),"Leve",IF(OR(K52='Tabla Impacto'!$C$12,K52='Tabla Impacto'!$D$12),"Menor",IF(OR(K52='Tabla Impacto'!$C$13,K52='Tabla Impacto'!$D$13),"Moderado",IF(OR(K52='Tabla Impacto'!$C$14,K52='Tabla Impacto'!$D$14),"Mayor",IF(OR(K52='Tabla Impacto'!$C$15,K52='Tabla Impacto'!$D$15),"Catastrófico","")))))</f>
        <v/>
      </c>
      <c r="M52" s="206" t="str">
        <f ca="1">IF(L52="","",IF(L52="Leve",0.2,IF(L52="Menor",0.4,IF(L52="Moderado",0.6,IF(L52="Mayor",0.8,IF(L52="Catastrófico",1,))))))</f>
        <v/>
      </c>
      <c r="N52" s="19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4"/>
      <c r="B57" s="193"/>
      <c r="C57" s="193"/>
      <c r="D57" s="193"/>
      <c r="E57" s="217"/>
      <c r="F57" s="193"/>
      <c r="G57" s="196"/>
      <c r="H57" s="205"/>
      <c r="I57" s="208"/>
      <c r="J57" s="211"/>
      <c r="K57" s="208">
        <f ca="1">IF(NOT(ISERROR(MATCH(J57,_xlfn.ANCHORARRAY(E68),0))),I70&amp;"Por favor no seleccionar los criterios de impacto",J57)</f>
        <v>0</v>
      </c>
      <c r="L57" s="205"/>
      <c r="M57" s="208"/>
      <c r="N57" s="199"/>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2">
        <v>9</v>
      </c>
      <c r="B58" s="191"/>
      <c r="C58" s="191"/>
      <c r="D58" s="191"/>
      <c r="E58" s="215"/>
      <c r="F58" s="191"/>
      <c r="G58" s="194"/>
      <c r="H58" s="203" t="str">
        <f>IF(G58&lt;=0,"",IF(G58&lt;=2,"Muy Baja",IF(G58&lt;=24,"Baja",IF(G58&lt;=500,"Media",IF(G58&lt;=5000,"Alta","Muy Alta")))))</f>
        <v/>
      </c>
      <c r="I58" s="206" t="str">
        <f>IF(H58="","",IF(H58="Muy Baja",0.2,IF(H58="Baja",0.4,IF(H58="Media",0.6,IF(H58="Alta",0.8,IF(H58="Muy Alta",1,))))))</f>
        <v/>
      </c>
      <c r="J58" s="209"/>
      <c r="K58" s="206">
        <f ca="1">IF(NOT(ISERROR(MATCH(J58,'Tabla Impacto'!$B$221:$B$223,0))),'Tabla Impacto'!$F$223&amp;"Por favor no seleccionar los criterios de impacto(Afectación Económica o presupuestal y Pérdida Reputacional)",J58)</f>
        <v>0</v>
      </c>
      <c r="L58" s="203" t="str">
        <f ca="1">IF(OR(K58='Tabla Impacto'!$C$11,K58='Tabla Impacto'!$D$11),"Leve",IF(OR(K58='Tabla Impacto'!$C$12,K58='Tabla Impacto'!$D$12),"Menor",IF(OR(K58='Tabla Impacto'!$C$13,K58='Tabla Impacto'!$D$13),"Moderado",IF(OR(K58='Tabla Impacto'!$C$14,K58='Tabla Impacto'!$D$14),"Mayor",IF(OR(K58='Tabla Impacto'!$C$15,K58='Tabla Impacto'!$D$15),"Catastrófico","")))))</f>
        <v/>
      </c>
      <c r="M58" s="206" t="str">
        <f ca="1">IF(L58="","",IF(L58="Leve",0.2,IF(L58="Menor",0.4,IF(L58="Moderado",0.6,IF(L58="Mayor",0.8,IF(L58="Catastrófico",1,))))))</f>
        <v/>
      </c>
      <c r="N58" s="19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4"/>
      <c r="B63" s="193"/>
      <c r="C63" s="193"/>
      <c r="D63" s="193"/>
      <c r="E63" s="217"/>
      <c r="F63" s="193"/>
      <c r="G63" s="196"/>
      <c r="H63" s="205"/>
      <c r="I63" s="208"/>
      <c r="J63" s="211"/>
      <c r="K63" s="208">
        <f ca="1">IF(NOT(ISERROR(MATCH(J63,_xlfn.ANCHORARRAY(E74),0))),I76&amp;"Por favor no seleccionar los criterios de impacto",J63)</f>
        <v>0</v>
      </c>
      <c r="L63" s="205"/>
      <c r="M63" s="208"/>
      <c r="N63" s="199"/>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2">
        <v>10</v>
      </c>
      <c r="B64" s="191"/>
      <c r="C64" s="191"/>
      <c r="D64" s="191"/>
      <c r="E64" s="215"/>
      <c r="F64" s="191"/>
      <c r="G64" s="194"/>
      <c r="H64" s="203" t="str">
        <f>IF(G64&lt;=0,"",IF(G64&lt;=2,"Muy Baja",IF(G64&lt;=24,"Baja",IF(G64&lt;=500,"Media",IF(G64&lt;=5000,"Alta","Muy Alta")))))</f>
        <v/>
      </c>
      <c r="I64" s="206" t="str">
        <f>IF(H64="","",IF(H64="Muy Baja",0.2,IF(H64="Baja",0.4,IF(H64="Media",0.6,IF(H64="Alta",0.8,IF(H64="Muy Alta",1,))))))</f>
        <v/>
      </c>
      <c r="J64" s="209"/>
      <c r="K64" s="206">
        <f ca="1">IF(NOT(ISERROR(MATCH(J64,'Tabla Impacto'!$B$221:$B$223,0))),'Tabla Impacto'!$F$223&amp;"Por favor no seleccionar los criterios de impacto(Afectación Económica o presupuestal y Pérdida Reputacional)",J64)</f>
        <v>0</v>
      </c>
      <c r="L64" s="203" t="str">
        <f ca="1">IF(OR(K64='Tabla Impacto'!$C$11,K64='Tabla Impacto'!$D$11),"Leve",IF(OR(K64='Tabla Impacto'!$C$12,K64='Tabla Impacto'!$D$12),"Menor",IF(OR(K64='Tabla Impacto'!$C$13,K64='Tabla Impacto'!$D$13),"Moderado",IF(OR(K64='Tabla Impacto'!$C$14,K64='Tabla Impacto'!$D$14),"Mayor",IF(OR(K64='Tabla Impacto'!$C$15,K64='Tabla Impacto'!$D$15),"Catastrófico","")))))</f>
        <v/>
      </c>
      <c r="M64" s="206" t="str">
        <f ca="1">IF(L64="","",IF(L64="Leve",0.2,IF(L64="Menor",0.4,IF(L64="Moderado",0.6,IF(L64="Mayor",0.8,IF(L64="Catastrófico",1,))))))</f>
        <v/>
      </c>
      <c r="N64" s="19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3"/>
      <c r="B68" s="192"/>
      <c r="C68" s="192"/>
      <c r="D68" s="192"/>
      <c r="E68" s="216"/>
      <c r="F68" s="192"/>
      <c r="G68" s="195"/>
      <c r="H68" s="204"/>
      <c r="I68" s="207"/>
      <c r="J68" s="210"/>
      <c r="K68" s="207">
        <f ca="1">IF(NOT(ISERROR(MATCH(J68,_xlfn.ANCHORARRAY(E79),0))),I81&amp;"Por favor no seleccionar los criterios de impacto",J68)</f>
        <v>0</v>
      </c>
      <c r="L68" s="204"/>
      <c r="M68" s="207"/>
      <c r="N68" s="198"/>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4"/>
      <c r="B69" s="193"/>
      <c r="C69" s="193"/>
      <c r="D69" s="193"/>
      <c r="E69" s="217"/>
      <c r="F69" s="193"/>
      <c r="G69" s="196"/>
      <c r="H69" s="205"/>
      <c r="I69" s="208"/>
      <c r="J69" s="211"/>
      <c r="K69" s="208">
        <f ca="1">IF(NOT(ISERROR(MATCH(J69,_xlfn.ANCHORARRAY(E80),0))),I82&amp;"Por favor no seleccionar los criterios de impacto",J69)</f>
        <v>0</v>
      </c>
      <c r="L69" s="205"/>
      <c r="M69" s="208"/>
      <c r="N69" s="199"/>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00" t="s">
        <v>131</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2"/>
    </row>
    <row r="72" spans="1:36" x14ac:dyDescent="0.3">
      <c r="A72" s="1"/>
      <c r="B72" s="24" t="s">
        <v>143</v>
      </c>
      <c r="C72" s="1"/>
      <c r="D72" s="1"/>
      <c r="F72" s="1"/>
    </row>
  </sheetData>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08" priority="227" operator="equal">
      <formula>"Muy Alta"</formula>
    </cfRule>
    <cfRule type="cellIs" dxfId="107" priority="228" operator="equal">
      <formula>"Alta"</formula>
    </cfRule>
    <cfRule type="cellIs" dxfId="106" priority="229" operator="equal">
      <formula>"Media"</formula>
    </cfRule>
    <cfRule type="cellIs" dxfId="105" priority="230" operator="equal">
      <formula>"Baja"</formula>
    </cfRule>
    <cfRule type="cellIs" dxfId="104" priority="231" operator="equal">
      <formula>"Muy Baja"</formula>
    </cfRule>
  </conditionalFormatting>
  <conditionalFormatting sqref="H22">
    <cfRule type="cellIs" dxfId="103" priority="181" operator="equal">
      <formula>"Muy Alta"</formula>
    </cfRule>
    <cfRule type="cellIs" dxfId="102" priority="182" operator="equal">
      <formula>"Alta"</formula>
    </cfRule>
    <cfRule type="cellIs" dxfId="101" priority="183" operator="equal">
      <formula>"Media"</formula>
    </cfRule>
    <cfRule type="cellIs" dxfId="100" priority="184" operator="equal">
      <formula>"Baja"</formula>
    </cfRule>
    <cfRule type="cellIs" dxfId="99" priority="185" operator="equal">
      <formula>"Muy Baja"</formula>
    </cfRule>
  </conditionalFormatting>
  <conditionalFormatting sqref="H28">
    <cfRule type="cellIs" dxfId="98" priority="158" operator="equal">
      <formula>"Muy Alta"</formula>
    </cfRule>
    <cfRule type="cellIs" dxfId="97" priority="159" operator="equal">
      <formula>"Alta"</formula>
    </cfRule>
    <cfRule type="cellIs" dxfId="96" priority="160" operator="equal">
      <formula>"Media"</formula>
    </cfRule>
    <cfRule type="cellIs" dxfId="95" priority="161" operator="equal">
      <formula>"Baja"</formula>
    </cfRule>
    <cfRule type="cellIs" dxfId="94" priority="162" operator="equal">
      <formula>"Muy Baja"</formula>
    </cfRule>
  </conditionalFormatting>
  <conditionalFormatting sqref="H34">
    <cfRule type="cellIs" dxfId="93" priority="135" operator="equal">
      <formula>"Muy Alta"</formula>
    </cfRule>
    <cfRule type="cellIs" dxfId="92" priority="136" operator="equal">
      <formula>"Alta"</formula>
    </cfRule>
    <cfRule type="cellIs" dxfId="91" priority="137" operator="equal">
      <formula>"Media"</formula>
    </cfRule>
    <cfRule type="cellIs" dxfId="90" priority="138" operator="equal">
      <formula>"Baja"</formula>
    </cfRule>
    <cfRule type="cellIs" dxfId="89" priority="139" operator="equal">
      <formula>"Muy Baja"</formula>
    </cfRule>
  </conditionalFormatting>
  <conditionalFormatting sqref="H40">
    <cfRule type="cellIs" dxfId="88" priority="112" operator="equal">
      <formula>"Muy Alta"</formula>
    </cfRule>
    <cfRule type="cellIs" dxfId="87" priority="113" operator="equal">
      <formula>"Alta"</formula>
    </cfRule>
    <cfRule type="cellIs" dxfId="86" priority="114" operator="equal">
      <formula>"Media"</formula>
    </cfRule>
    <cfRule type="cellIs" dxfId="85" priority="115" operator="equal">
      <formula>"Baja"</formula>
    </cfRule>
    <cfRule type="cellIs" dxfId="84" priority="116" operator="equal">
      <formula>"Muy Baja"</formula>
    </cfRule>
  </conditionalFormatting>
  <conditionalFormatting sqref="H46">
    <cfRule type="cellIs" dxfId="83" priority="89" operator="equal">
      <formula>"Muy Alta"</formula>
    </cfRule>
    <cfRule type="cellIs" dxfId="82" priority="90" operator="equal">
      <formula>"Alta"</formula>
    </cfRule>
    <cfRule type="cellIs" dxfId="81" priority="91" operator="equal">
      <formula>"Media"</formula>
    </cfRule>
    <cfRule type="cellIs" dxfId="80" priority="92" operator="equal">
      <formula>"Baja"</formula>
    </cfRule>
    <cfRule type="cellIs" dxfId="79" priority="93" operator="equal">
      <formula>"Muy Baja"</formula>
    </cfRule>
  </conditionalFormatting>
  <conditionalFormatting sqref="H52">
    <cfRule type="cellIs" dxfId="78" priority="66" operator="equal">
      <formula>"Muy Alta"</formula>
    </cfRule>
    <cfRule type="cellIs" dxfId="77" priority="67" operator="equal">
      <formula>"Alta"</formula>
    </cfRule>
    <cfRule type="cellIs" dxfId="76" priority="68" operator="equal">
      <formula>"Media"</formula>
    </cfRule>
    <cfRule type="cellIs" dxfId="75" priority="69" operator="equal">
      <formula>"Baja"</formula>
    </cfRule>
    <cfRule type="cellIs" dxfId="74" priority="70" operator="equal">
      <formula>"Muy Baja"</formula>
    </cfRule>
  </conditionalFormatting>
  <conditionalFormatting sqref="H58">
    <cfRule type="cellIs" dxfId="73" priority="43" operator="equal">
      <formula>"Muy Alta"</formula>
    </cfRule>
    <cfRule type="cellIs" dxfId="72" priority="44" operator="equal">
      <formula>"Alta"</formula>
    </cfRule>
    <cfRule type="cellIs" dxfId="71" priority="45" operator="equal">
      <formula>"Media"</formula>
    </cfRule>
    <cfRule type="cellIs" dxfId="70" priority="46" operator="equal">
      <formula>"Baja"</formula>
    </cfRule>
    <cfRule type="cellIs" dxfId="69" priority="47" operator="equal">
      <formula>"Muy Baja"</formula>
    </cfRule>
  </conditionalFormatting>
  <conditionalFormatting sqref="H64">
    <cfRule type="cellIs" dxfId="68" priority="20" operator="equal">
      <formula>"Muy Alta"</formula>
    </cfRule>
    <cfRule type="cellIs" dxfId="67" priority="21" operator="equal">
      <formula>"Alta"</formula>
    </cfRule>
    <cfRule type="cellIs" dxfId="66" priority="22" operator="equal">
      <formula>"Media"</formula>
    </cfRule>
    <cfRule type="cellIs" dxfId="65" priority="23" operator="equal">
      <formula>"Baja"</formula>
    </cfRule>
    <cfRule type="cellIs" dxfId="64" priority="24" operator="equal">
      <formula>"Muy Baja"</formula>
    </cfRule>
  </conditionalFormatting>
  <conditionalFormatting sqref="K10:K69">
    <cfRule type="containsText" dxfId="63" priority="1" operator="containsText" text="❌">
      <formula>NOT(ISERROR(SEARCH("❌",K10)))</formula>
    </cfRule>
  </conditionalFormatting>
  <conditionalFormatting sqref="L10 L16 L22 L28 L34 L40 L46 L52 L58 L64">
    <cfRule type="cellIs" dxfId="62" priority="222" operator="equal">
      <formula>"Catastrófico"</formula>
    </cfRule>
    <cfRule type="cellIs" dxfId="61" priority="223" operator="equal">
      <formula>"Mayor"</formula>
    </cfRule>
    <cfRule type="cellIs" dxfId="60" priority="224" operator="equal">
      <formula>"Moderado"</formula>
    </cfRule>
    <cfRule type="cellIs" dxfId="59" priority="225" operator="equal">
      <formula>"Menor"</formula>
    </cfRule>
    <cfRule type="cellIs" dxfId="58" priority="226" operator="equal">
      <formula>"Leve"</formula>
    </cfRule>
  </conditionalFormatting>
  <conditionalFormatting sqref="N10">
    <cfRule type="cellIs" dxfId="57" priority="218" operator="equal">
      <formula>"Extremo"</formula>
    </cfRule>
    <cfRule type="cellIs" dxfId="56" priority="219" operator="equal">
      <formula>"Alto"</formula>
    </cfRule>
    <cfRule type="cellIs" dxfId="55" priority="220" operator="equal">
      <formula>"Moderado"</formula>
    </cfRule>
    <cfRule type="cellIs" dxfId="54" priority="221" operator="equal">
      <formula>"Bajo"</formula>
    </cfRule>
  </conditionalFormatting>
  <conditionalFormatting sqref="N16">
    <cfRule type="cellIs" dxfId="53" priority="200" operator="equal">
      <formula>"Extremo"</formula>
    </cfRule>
    <cfRule type="cellIs" dxfId="52" priority="201" operator="equal">
      <formula>"Alto"</formula>
    </cfRule>
    <cfRule type="cellIs" dxfId="51" priority="202" operator="equal">
      <formula>"Moderado"</formula>
    </cfRule>
    <cfRule type="cellIs" dxfId="50" priority="203" operator="equal">
      <formula>"Bajo"</formula>
    </cfRule>
  </conditionalFormatting>
  <conditionalFormatting sqref="N22">
    <cfRule type="cellIs" dxfId="49" priority="177" operator="equal">
      <formula>"Extremo"</formula>
    </cfRule>
    <cfRule type="cellIs" dxfId="48" priority="178" operator="equal">
      <formula>"Alto"</formula>
    </cfRule>
    <cfRule type="cellIs" dxfId="47" priority="179" operator="equal">
      <formula>"Moderado"</formula>
    </cfRule>
    <cfRule type="cellIs" dxfId="46" priority="180" operator="equal">
      <formula>"Bajo"</formula>
    </cfRule>
  </conditionalFormatting>
  <conditionalFormatting sqref="N28">
    <cfRule type="cellIs" dxfId="45" priority="154" operator="equal">
      <formula>"Extremo"</formula>
    </cfRule>
    <cfRule type="cellIs" dxfId="44" priority="155" operator="equal">
      <formula>"Alto"</formula>
    </cfRule>
    <cfRule type="cellIs" dxfId="43" priority="156" operator="equal">
      <formula>"Moderado"</formula>
    </cfRule>
    <cfRule type="cellIs" dxfId="42" priority="157" operator="equal">
      <formula>"Bajo"</formula>
    </cfRule>
  </conditionalFormatting>
  <conditionalFormatting sqref="N34">
    <cfRule type="cellIs" dxfId="41" priority="131" operator="equal">
      <formula>"Extremo"</formula>
    </cfRule>
    <cfRule type="cellIs" dxfId="40" priority="132" operator="equal">
      <formula>"Alto"</formula>
    </cfRule>
    <cfRule type="cellIs" dxfId="39" priority="133" operator="equal">
      <formula>"Moderado"</formula>
    </cfRule>
    <cfRule type="cellIs" dxfId="38" priority="134" operator="equal">
      <formula>"Bajo"</formula>
    </cfRule>
  </conditionalFormatting>
  <conditionalFormatting sqref="N40">
    <cfRule type="cellIs" dxfId="37" priority="108" operator="equal">
      <formula>"Extremo"</formula>
    </cfRule>
    <cfRule type="cellIs" dxfId="36" priority="109" operator="equal">
      <formula>"Alto"</formula>
    </cfRule>
    <cfRule type="cellIs" dxfId="35" priority="110" operator="equal">
      <formula>"Moderado"</formula>
    </cfRule>
    <cfRule type="cellIs" dxfId="34" priority="111" operator="equal">
      <formula>"Bajo"</formula>
    </cfRule>
  </conditionalFormatting>
  <conditionalFormatting sqref="N46">
    <cfRule type="cellIs" dxfId="33" priority="85" operator="equal">
      <formula>"Extremo"</formula>
    </cfRule>
    <cfRule type="cellIs" dxfId="32" priority="86" operator="equal">
      <formula>"Alto"</formula>
    </cfRule>
    <cfRule type="cellIs" dxfId="31" priority="87" operator="equal">
      <formula>"Moderado"</formula>
    </cfRule>
    <cfRule type="cellIs" dxfId="30" priority="88" operator="equal">
      <formula>"Bajo"</formula>
    </cfRule>
  </conditionalFormatting>
  <conditionalFormatting sqref="N52">
    <cfRule type="cellIs" dxfId="29" priority="62" operator="equal">
      <formula>"Extremo"</formula>
    </cfRule>
    <cfRule type="cellIs" dxfId="28" priority="63" operator="equal">
      <formula>"Alto"</formula>
    </cfRule>
    <cfRule type="cellIs" dxfId="27" priority="64" operator="equal">
      <formula>"Moderado"</formula>
    </cfRule>
    <cfRule type="cellIs" dxfId="26" priority="65" operator="equal">
      <formula>"Bajo"</formula>
    </cfRule>
  </conditionalFormatting>
  <conditionalFormatting sqref="N58">
    <cfRule type="cellIs" dxfId="25" priority="39" operator="equal">
      <formula>"Extremo"</formula>
    </cfRule>
    <cfRule type="cellIs" dxfId="24" priority="40" operator="equal">
      <formula>"Alto"</formula>
    </cfRule>
    <cfRule type="cellIs" dxfId="23" priority="41" operator="equal">
      <formula>"Moderado"</formula>
    </cfRule>
    <cfRule type="cellIs" dxfId="22" priority="42" operator="equal">
      <formula>"Bajo"</formula>
    </cfRule>
  </conditionalFormatting>
  <conditionalFormatting sqref="N64">
    <cfRule type="cellIs" dxfId="21" priority="16" operator="equal">
      <formula>"Extremo"</formula>
    </cfRule>
    <cfRule type="cellIs" dxfId="20" priority="17" operator="equal">
      <formula>"Alto"</formula>
    </cfRule>
    <cfRule type="cellIs" dxfId="19" priority="18" operator="equal">
      <formula>"Moderado"</formula>
    </cfRule>
    <cfRule type="cellIs" dxfId="18" priority="19" operator="equal">
      <formula>"Bajo"</formula>
    </cfRule>
  </conditionalFormatting>
  <conditionalFormatting sqref="Y10:Y69">
    <cfRule type="cellIs" dxfId="17" priority="11" operator="equal">
      <formula>"Muy Alta"</formula>
    </cfRule>
    <cfRule type="cellIs" dxfId="16" priority="12" operator="equal">
      <formula>"Alta"</formula>
    </cfRule>
    <cfRule type="cellIs" dxfId="15" priority="13" operator="equal">
      <formula>"Media"</formula>
    </cfRule>
    <cfRule type="cellIs" dxfId="14" priority="14" operator="equal">
      <formula>"Baja"</formula>
    </cfRule>
    <cfRule type="cellIs" dxfId="13" priority="15" operator="equal">
      <formula>"Muy Baja"</formula>
    </cfRule>
  </conditionalFormatting>
  <conditionalFormatting sqref="AA10:AA69">
    <cfRule type="cellIs" dxfId="12" priority="6" operator="equal">
      <formula>"Catastrófico"</formula>
    </cfRule>
    <cfRule type="cellIs" dxfId="11" priority="7" operator="equal">
      <formula>"Mayor"</formula>
    </cfRule>
    <cfRule type="cellIs" dxfId="10" priority="8" operator="equal">
      <formula>"Moderado"</formula>
    </cfRule>
    <cfRule type="cellIs" dxfId="9" priority="9" operator="equal">
      <formula>"Menor"</formula>
    </cfRule>
    <cfRule type="cellIs" dxfId="8" priority="10" operator="equal">
      <formula>"Leve"</formula>
    </cfRule>
  </conditionalFormatting>
  <conditionalFormatting sqref="AC10:AC69">
    <cfRule type="cellIs" dxfId="7" priority="2" operator="equal">
      <formula>"Extremo"</formula>
    </cfRule>
    <cfRule type="cellIs" dxfId="6" priority="3" operator="equal">
      <formula>"Alto"</formula>
    </cfRule>
    <cfRule type="cellIs" dxfId="5" priority="4" operator="equal">
      <formula>"Moderado"</formula>
    </cfRule>
    <cfRule type="cellIs" dxfId="4"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E2C49960-0F75-4CFC-913B-420198919178}">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283F414F-5684-4C85-A344-1B0B2B2A9076}">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BA88B750-FACC-4A91-9E63-E2E990C999CA}">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501886F0-FF28-47DB-B34F-50BC4A86E8E7}">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7853C12D-C0AB-43E8-8A49-F324D6CBE2CD}">
          <x14:formula1>
            <xm:f>IF(OR(AD10='Opciones Tratamiento'!$B$2,AD10='Opciones Tratamiento'!$B$3,AD10='Opciones Tratamiento'!$B$4),ISBLANK(AD10),ISTEXT(AD10))</xm:f>
          </x14:formula1>
          <xm:sqref>AE10:AE69</xm:sqref>
        </x14:dataValidation>
        <x14:dataValidation type="list" allowBlank="1" showInputMessage="1" showErrorMessage="1" xr:uid="{560DCE99-68FD-42E1-82A1-B4A242F4942F}">
          <x14:formula1>
            <xm:f>'Tabla Impacto'!$F$210:$F$221</xm:f>
          </x14:formula1>
          <xm:sqref>J10:J69</xm:sqref>
        </x14:dataValidation>
        <x14:dataValidation type="list" allowBlank="1" showInputMessage="1" showErrorMessage="1" xr:uid="{E28BB616-3ACF-406F-8F02-2204E7A33A50}">
          <x14:formula1>
            <xm:f>'Opciones Tratamiento'!$B$2:$B$5</xm:f>
          </x14:formula1>
          <xm:sqref>AD10:AD69</xm:sqref>
        </x14:dataValidation>
        <x14:dataValidation type="list" allowBlank="1" showInputMessage="1" showErrorMessage="1" xr:uid="{CAE69626-A76C-4CE5-A929-533476FB0557}">
          <x14:formula1>
            <xm:f>'Opciones Tratamiento'!$E$2:$E$4</xm:f>
          </x14:formula1>
          <xm:sqref>B10:B69</xm:sqref>
        </x14:dataValidation>
        <x14:dataValidation type="list" allowBlank="1" showInputMessage="1" showErrorMessage="1" xr:uid="{41FD7346-2BA9-4693-A9DD-650EA9C3B5A6}">
          <x14:formula1>
            <xm:f>'Opciones Tratamiento'!$B$13:$B$19</xm:f>
          </x14:formula1>
          <xm:sqref>F10:F69</xm:sqref>
        </x14:dataValidation>
        <x14:dataValidation type="list" allowBlank="1" showInputMessage="1" showErrorMessage="1" xr:uid="{F2B8357B-B704-476F-AB13-79E33206DBF5}">
          <x14:formula1>
            <xm:f>'Tabla Valoración controles'!$D$13:$D$14</xm:f>
          </x14:formula1>
          <xm:sqref>W10:W69</xm:sqref>
        </x14:dataValidation>
        <x14:dataValidation type="list" allowBlank="1" showInputMessage="1" showErrorMessage="1" xr:uid="{5A00F371-4D99-4980-B758-6FD0301775C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7151A66A-5FC1-4109-9A54-7AD9BF4E13E5}">
          <x14:formula1>
            <xm:f>'Tabla Valoración controles'!$D$11:$D$12</xm:f>
          </x14:formula1>
          <xm:sqref>V10:V69</xm:sqref>
        </x14:dataValidation>
        <x14:dataValidation type="list" allowBlank="1" showInputMessage="1" showErrorMessage="1" xr:uid="{AB0EE380-79D2-4D3F-9C66-7E46642CE1BC}">
          <x14:formula1>
            <xm:f>'Tabla Valoración controles'!$D$9:$D$10</xm:f>
          </x14:formula1>
          <xm:sqref>U10:U69</xm:sqref>
        </x14:dataValidation>
        <x14:dataValidation type="list" allowBlank="1" showInputMessage="1" showErrorMessage="1" xr:uid="{B5414475-2892-481D-9142-94617B11AE48}">
          <x14:formula1>
            <xm:f>'Tabla Valoración controles'!$D$7:$D$8</xm:f>
          </x14:formula1>
          <xm:sqref>S10:S69</xm:sqref>
        </x14:dataValidation>
        <x14:dataValidation type="list" allowBlank="1" showInputMessage="1" showErrorMessage="1" xr:uid="{B3425A91-CACE-42C3-A099-13BA82A0C6DF}">
          <x14:formula1>
            <xm:f>'Tabla Valoración controles'!$D$4:$D$6</xm:f>
          </x14:formula1>
          <xm:sqref>R10:R69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U140"/>
  <sheetViews>
    <sheetView topLeftCell="A3" zoomScale="50" zoomScaleNormal="50" workbookViewId="0">
      <selection activeCell="AL62" sqref="AL62"/>
    </sheetView>
  </sheetViews>
  <sheetFormatPr baseColWidth="10" defaultRowHeight="15" x14ac:dyDescent="0.25"/>
  <cols>
    <col min="2" max="39" width="5.7109375" customWidth="1"/>
    <col min="41" max="46" width="5.7109375" customWidth="1"/>
  </cols>
  <sheetData>
    <row r="1" spans="1:99"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25">
      <c r="A2" s="83"/>
      <c r="B2" s="340" t="s">
        <v>161</v>
      </c>
      <c r="C2" s="340"/>
      <c r="D2" s="340"/>
      <c r="E2" s="340"/>
      <c r="F2" s="340"/>
      <c r="G2" s="340"/>
      <c r="H2" s="340"/>
      <c r="I2" s="340"/>
      <c r="J2" s="308" t="s">
        <v>2</v>
      </c>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25">
      <c r="A3" s="83"/>
      <c r="B3" s="340"/>
      <c r="C3" s="340"/>
      <c r="D3" s="340"/>
      <c r="E3" s="340"/>
      <c r="F3" s="340"/>
      <c r="G3" s="340"/>
      <c r="H3" s="340"/>
      <c r="I3" s="340"/>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08"/>
      <c r="AJ3" s="308"/>
      <c r="AK3" s="308"/>
      <c r="AL3" s="308"/>
      <c r="AM3" s="308"/>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25">
      <c r="A4" s="83"/>
      <c r="B4" s="340"/>
      <c r="C4" s="340"/>
      <c r="D4" s="340"/>
      <c r="E4" s="340"/>
      <c r="F4" s="340"/>
      <c r="G4" s="340"/>
      <c r="H4" s="340"/>
      <c r="I4" s="340"/>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25">
      <c r="A6" s="83"/>
      <c r="B6" s="255" t="s">
        <v>4</v>
      </c>
      <c r="C6" s="255"/>
      <c r="D6" s="256"/>
      <c r="E6" s="293" t="s">
        <v>116</v>
      </c>
      <c r="F6" s="294"/>
      <c r="G6" s="294"/>
      <c r="H6" s="294"/>
      <c r="I6" s="295"/>
      <c r="J6" s="304" t="str">
        <f ca="1">IF(AND(academico!$H$10="Muy Alta",academico!$L$10="Leve"),CONCATENATE("R",academico!$A$10),"")</f>
        <v/>
      </c>
      <c r="K6" s="305"/>
      <c r="L6" s="305" t="str">
        <f ca="1">IF(AND(academico!$H$16="Muy Alta",academico!$L$16="Leve"),CONCATENATE("R",academico!$A$16),"")</f>
        <v/>
      </c>
      <c r="M6" s="305"/>
      <c r="N6" s="305" t="str">
        <f ca="1">IF(AND(academico!$H$22="Muy Alta",academico!$L$22="Leve"),CONCATENATE("R",academico!$A$22),"")</f>
        <v/>
      </c>
      <c r="O6" s="307"/>
      <c r="P6" s="304" t="str">
        <f ca="1">IF(AND(academico!$H$10="Muy Alta",academico!$L$10="Menor"),CONCATENATE("R",academico!$A$10),"")</f>
        <v/>
      </c>
      <c r="Q6" s="305"/>
      <c r="R6" s="305" t="str">
        <f ca="1">IF(AND(academico!$H$16="Muy Alta",academico!$L$16="Menor"),CONCATENATE("R",academico!$A$16),"")</f>
        <v/>
      </c>
      <c r="S6" s="305"/>
      <c r="T6" s="305" t="str">
        <f ca="1">IF(AND(academico!$H$22="Muy Alta",academico!$L$22="Menor"),CONCATENATE("R",academico!$A$22),"")</f>
        <v/>
      </c>
      <c r="U6" s="307"/>
      <c r="V6" s="304" t="str">
        <f ca="1">IF(AND(academico!$H$10="Muy Alta",academico!$L$10="Moderado"),CONCATENATE("R",academico!$A$10),"")</f>
        <v/>
      </c>
      <c r="W6" s="305"/>
      <c r="X6" s="305" t="str">
        <f ca="1">IF(AND(academico!$H$16="Muy Alta",academico!$L$16="Moderado"),CONCATENATE("R",academico!$A$16),"")</f>
        <v/>
      </c>
      <c r="Y6" s="305"/>
      <c r="Z6" s="305" t="str">
        <f ca="1">IF(AND(academico!$H$22="Muy Alta",academico!$L$22="Moderado"),CONCATENATE("R",academico!$A$22),"")</f>
        <v/>
      </c>
      <c r="AA6" s="307"/>
      <c r="AB6" s="304" t="str">
        <f ca="1">IF(AND(academico!$H$10="Muy Alta",academico!$L$10="Mayor"),CONCATENATE("R",academico!$A$10),"")</f>
        <v/>
      </c>
      <c r="AC6" s="305"/>
      <c r="AD6" s="305" t="str">
        <f ca="1">IF(AND(academico!$H$16="Muy Alta",academico!$L$16="Mayor"),CONCATENATE("R",academico!$A$16),"")</f>
        <v/>
      </c>
      <c r="AE6" s="305"/>
      <c r="AF6" s="305" t="str">
        <f ca="1">IF(AND(academico!$H$22="Muy Alta",academico!$L$22="Mayor"),CONCATENATE("R",academico!$A$22),"")</f>
        <v/>
      </c>
      <c r="AG6" s="307"/>
      <c r="AH6" s="319" t="str">
        <f ca="1">IF(AND(academico!$H$10="Muy Alta",academico!$L$10="Catastrófico"),CONCATENATE("R",academico!$A$10),"")</f>
        <v/>
      </c>
      <c r="AI6" s="320"/>
      <c r="AJ6" s="320" t="str">
        <f ca="1">IF(AND(academico!$H$16="Muy Alta",academico!$L$16="Catastrófico"),CONCATENATE("R",academico!$A$16),"")</f>
        <v/>
      </c>
      <c r="AK6" s="320"/>
      <c r="AL6" s="320" t="str">
        <f ca="1">IF(AND(academico!$H$22="Muy Alta",academico!$L$22="Catastrófico"),CONCATENATE("R",academico!$A$22),"")</f>
        <v/>
      </c>
      <c r="AM6" s="321"/>
      <c r="AO6" s="257" t="s">
        <v>79</v>
      </c>
      <c r="AP6" s="258"/>
      <c r="AQ6" s="258"/>
      <c r="AR6" s="258"/>
      <c r="AS6" s="258"/>
      <c r="AT6" s="259"/>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25">
      <c r="A7" s="83"/>
      <c r="B7" s="255"/>
      <c r="C7" s="255"/>
      <c r="D7" s="256"/>
      <c r="E7" s="296"/>
      <c r="F7" s="297"/>
      <c r="G7" s="297"/>
      <c r="H7" s="297"/>
      <c r="I7" s="298"/>
      <c r="J7" s="306"/>
      <c r="K7" s="302"/>
      <c r="L7" s="302"/>
      <c r="M7" s="302"/>
      <c r="N7" s="302"/>
      <c r="O7" s="303"/>
      <c r="P7" s="306"/>
      <c r="Q7" s="302"/>
      <c r="R7" s="302"/>
      <c r="S7" s="302"/>
      <c r="T7" s="302"/>
      <c r="U7" s="303"/>
      <c r="V7" s="306"/>
      <c r="W7" s="302"/>
      <c r="X7" s="302"/>
      <c r="Y7" s="302"/>
      <c r="Z7" s="302"/>
      <c r="AA7" s="303"/>
      <c r="AB7" s="306"/>
      <c r="AC7" s="302"/>
      <c r="AD7" s="302"/>
      <c r="AE7" s="302"/>
      <c r="AF7" s="302"/>
      <c r="AG7" s="303"/>
      <c r="AH7" s="313"/>
      <c r="AI7" s="314"/>
      <c r="AJ7" s="314"/>
      <c r="AK7" s="314"/>
      <c r="AL7" s="314"/>
      <c r="AM7" s="315"/>
      <c r="AN7" s="83"/>
      <c r="AO7" s="260"/>
      <c r="AP7" s="261"/>
      <c r="AQ7" s="261"/>
      <c r="AR7" s="261"/>
      <c r="AS7" s="261"/>
      <c r="AT7" s="262"/>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25">
      <c r="A8" s="83"/>
      <c r="B8" s="255"/>
      <c r="C8" s="255"/>
      <c r="D8" s="256"/>
      <c r="E8" s="296"/>
      <c r="F8" s="297"/>
      <c r="G8" s="297"/>
      <c r="H8" s="297"/>
      <c r="I8" s="298"/>
      <c r="J8" s="306" t="str">
        <f ca="1">IF(AND(academico!$H$28="Muy Alta",academico!$L$28="Leve"),CONCATENATE("R",academico!$A$28),"")</f>
        <v/>
      </c>
      <c r="K8" s="302"/>
      <c r="L8" s="302" t="str">
        <f ca="1">IF(AND(academico!$H$34="Muy Alta",academico!$L$34="Leve"),CONCATENATE("R",academico!$A$34),"")</f>
        <v/>
      </c>
      <c r="M8" s="302"/>
      <c r="N8" s="302" t="str">
        <f ca="1">IF(AND(academico!$H$40="Muy Alta",academico!$L$40="Leve"),CONCATENATE("R",academico!$A$40),"")</f>
        <v/>
      </c>
      <c r="O8" s="303"/>
      <c r="P8" s="306" t="str">
        <f ca="1">IF(AND(academico!$H$28="Muy Alta",academico!$L$28="Menor"),CONCATENATE("R",academico!$A$28),"")</f>
        <v/>
      </c>
      <c r="Q8" s="302"/>
      <c r="R8" s="302" t="str">
        <f ca="1">IF(AND(academico!$H$34="Muy Alta",academico!$L$34="Menor"),CONCATENATE("R",academico!$A$34),"")</f>
        <v/>
      </c>
      <c r="S8" s="302"/>
      <c r="T8" s="302" t="str">
        <f ca="1">IF(AND(academico!$H$40="Muy Alta",academico!$L$40="Menor"),CONCATENATE("R",academico!$A$40),"")</f>
        <v/>
      </c>
      <c r="U8" s="303"/>
      <c r="V8" s="306" t="str">
        <f ca="1">IF(AND(academico!$H$28="Muy Alta",academico!$L$28="Moderado"),CONCATENATE("R",academico!$A$28),"")</f>
        <v/>
      </c>
      <c r="W8" s="302"/>
      <c r="X8" s="302" t="str">
        <f ca="1">IF(AND(academico!$H$34="Muy Alta",academico!$L$34="Moderado"),CONCATENATE("R",academico!$A$34),"")</f>
        <v/>
      </c>
      <c r="Y8" s="302"/>
      <c r="Z8" s="302" t="str">
        <f ca="1">IF(AND(academico!$H$40="Muy Alta",academico!$L$40="Moderado"),CONCATENATE("R",academico!$A$40),"")</f>
        <v/>
      </c>
      <c r="AA8" s="303"/>
      <c r="AB8" s="306" t="str">
        <f ca="1">IF(AND(academico!$H$28="Muy Alta",academico!$L$28="Mayor"),CONCATENATE("R",academico!$A$28),"")</f>
        <v/>
      </c>
      <c r="AC8" s="302"/>
      <c r="AD8" s="302" t="str">
        <f ca="1">IF(AND(academico!$H$34="Muy Alta",academico!$L$34="Mayor"),CONCATENATE("R",academico!$A$34),"")</f>
        <v/>
      </c>
      <c r="AE8" s="302"/>
      <c r="AF8" s="302" t="str">
        <f ca="1">IF(AND(academico!$H$40="Muy Alta",academico!$L$40="Mayor"),CONCATENATE("R",academico!$A$40),"")</f>
        <v/>
      </c>
      <c r="AG8" s="303"/>
      <c r="AH8" s="313" t="str">
        <f ca="1">IF(AND(academico!$H$28="Muy Alta",academico!$L$28="Catastrófico"),CONCATENATE("R",academico!$A$28),"")</f>
        <v/>
      </c>
      <c r="AI8" s="314"/>
      <c r="AJ8" s="314" t="str">
        <f ca="1">IF(AND(academico!$H$34="Muy Alta",academico!$L$34="Catastrófico"),CONCATENATE("R",academico!$A$34),"")</f>
        <v/>
      </c>
      <c r="AK8" s="314"/>
      <c r="AL8" s="314" t="str">
        <f ca="1">IF(AND(academico!$H$40="Muy Alta",academico!$L$40="Catastrófico"),CONCATENATE("R",academico!$A$40),"")</f>
        <v/>
      </c>
      <c r="AM8" s="315"/>
      <c r="AN8" s="83"/>
      <c r="AO8" s="260"/>
      <c r="AP8" s="261"/>
      <c r="AQ8" s="261"/>
      <c r="AR8" s="261"/>
      <c r="AS8" s="261"/>
      <c r="AT8" s="262"/>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25">
      <c r="A9" s="83"/>
      <c r="B9" s="255"/>
      <c r="C9" s="255"/>
      <c r="D9" s="256"/>
      <c r="E9" s="296"/>
      <c r="F9" s="297"/>
      <c r="G9" s="297"/>
      <c r="H9" s="297"/>
      <c r="I9" s="298"/>
      <c r="J9" s="306"/>
      <c r="K9" s="302"/>
      <c r="L9" s="302"/>
      <c r="M9" s="302"/>
      <c r="N9" s="302"/>
      <c r="O9" s="303"/>
      <c r="P9" s="306"/>
      <c r="Q9" s="302"/>
      <c r="R9" s="302"/>
      <c r="S9" s="302"/>
      <c r="T9" s="302"/>
      <c r="U9" s="303"/>
      <c r="V9" s="306"/>
      <c r="W9" s="302"/>
      <c r="X9" s="302"/>
      <c r="Y9" s="302"/>
      <c r="Z9" s="302"/>
      <c r="AA9" s="303"/>
      <c r="AB9" s="306"/>
      <c r="AC9" s="302"/>
      <c r="AD9" s="302"/>
      <c r="AE9" s="302"/>
      <c r="AF9" s="302"/>
      <c r="AG9" s="303"/>
      <c r="AH9" s="313"/>
      <c r="AI9" s="314"/>
      <c r="AJ9" s="314"/>
      <c r="AK9" s="314"/>
      <c r="AL9" s="314"/>
      <c r="AM9" s="315"/>
      <c r="AN9" s="83"/>
      <c r="AO9" s="260"/>
      <c r="AP9" s="261"/>
      <c r="AQ9" s="261"/>
      <c r="AR9" s="261"/>
      <c r="AS9" s="261"/>
      <c r="AT9" s="262"/>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25">
      <c r="A10" s="83"/>
      <c r="B10" s="255"/>
      <c r="C10" s="255"/>
      <c r="D10" s="256"/>
      <c r="E10" s="296"/>
      <c r="F10" s="297"/>
      <c r="G10" s="297"/>
      <c r="H10" s="297"/>
      <c r="I10" s="298"/>
      <c r="J10" s="306" t="str">
        <f ca="1">IF(AND(academico!$H$46="Muy Alta",academico!$L$46="Leve"),CONCATENATE("R",academico!$A$46),"")</f>
        <v/>
      </c>
      <c r="K10" s="302"/>
      <c r="L10" s="302" t="str">
        <f ca="1">IF(AND(academico!$H$52="Muy Alta",academico!$L$52="Leve"),CONCATENATE("R",academico!$A$52),"")</f>
        <v/>
      </c>
      <c r="M10" s="302"/>
      <c r="N10" s="302" t="str">
        <f ca="1">IF(AND(academico!$H$58="Muy Alta",academico!$L$58="Leve"),CONCATENATE("R",academico!$A$58),"")</f>
        <v/>
      </c>
      <c r="O10" s="303"/>
      <c r="P10" s="306" t="str">
        <f ca="1">IF(AND(academico!$H$46="Muy Alta",academico!$L$46="Menor"),CONCATENATE("R",academico!$A$46),"")</f>
        <v/>
      </c>
      <c r="Q10" s="302"/>
      <c r="R10" s="302" t="str">
        <f ca="1">IF(AND(academico!$H$52="Muy Alta",academico!$L$52="Menor"),CONCATENATE("R",academico!$A$52),"")</f>
        <v/>
      </c>
      <c r="S10" s="302"/>
      <c r="T10" s="302" t="str">
        <f ca="1">IF(AND(academico!$H$58="Muy Alta",academico!$L$58="Menor"),CONCATENATE("R",academico!$A$58),"")</f>
        <v/>
      </c>
      <c r="U10" s="303"/>
      <c r="V10" s="306" t="str">
        <f ca="1">IF(AND(academico!$H$46="Muy Alta",academico!$L$46="Moderado"),CONCATENATE("R",academico!$A$46),"")</f>
        <v/>
      </c>
      <c r="W10" s="302"/>
      <c r="X10" s="302" t="str">
        <f ca="1">IF(AND(academico!$H$52="Muy Alta",academico!$L$52="Moderado"),CONCATENATE("R",academico!$A$52),"")</f>
        <v/>
      </c>
      <c r="Y10" s="302"/>
      <c r="Z10" s="302" t="str">
        <f ca="1">IF(AND(academico!$H$58="Muy Alta",academico!$L$58="Moderado"),CONCATENATE("R",academico!$A$58),"")</f>
        <v/>
      </c>
      <c r="AA10" s="303"/>
      <c r="AB10" s="306" t="str">
        <f ca="1">IF(AND(academico!$H$46="Muy Alta",academico!$L$46="Mayor"),CONCATENATE("R",academico!$A$46),"")</f>
        <v/>
      </c>
      <c r="AC10" s="302"/>
      <c r="AD10" s="302" t="str">
        <f ca="1">IF(AND(academico!$H$52="Muy Alta",academico!$L$52="Mayor"),CONCATENATE("R",academico!$A$52),"")</f>
        <v/>
      </c>
      <c r="AE10" s="302"/>
      <c r="AF10" s="302" t="str">
        <f ca="1">IF(AND(academico!$H$58="Muy Alta",academico!$L$58="Mayor"),CONCATENATE("R",academico!$A$58),"")</f>
        <v/>
      </c>
      <c r="AG10" s="303"/>
      <c r="AH10" s="313" t="str">
        <f ca="1">IF(AND(academico!$H$46="Muy Alta",academico!$L$46="Catastrófico"),CONCATENATE("R",academico!$A$46),"")</f>
        <v/>
      </c>
      <c r="AI10" s="314"/>
      <c r="AJ10" s="314" t="str">
        <f ca="1">IF(AND(academico!$H$52="Muy Alta",academico!$L$52="Catastrófico"),CONCATENATE("R",academico!$A$52),"")</f>
        <v/>
      </c>
      <c r="AK10" s="314"/>
      <c r="AL10" s="314" t="str">
        <f ca="1">IF(AND(academico!$H$58="Muy Alta",academico!$L$58="Catastrófico"),CONCATENATE("R",academico!$A$58),"")</f>
        <v/>
      </c>
      <c r="AM10" s="315"/>
      <c r="AN10" s="83"/>
      <c r="AO10" s="260"/>
      <c r="AP10" s="261"/>
      <c r="AQ10" s="261"/>
      <c r="AR10" s="261"/>
      <c r="AS10" s="261"/>
      <c r="AT10" s="262"/>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25">
      <c r="A11" s="83"/>
      <c r="B11" s="255"/>
      <c r="C11" s="255"/>
      <c r="D11" s="256"/>
      <c r="E11" s="296"/>
      <c r="F11" s="297"/>
      <c r="G11" s="297"/>
      <c r="H11" s="297"/>
      <c r="I11" s="298"/>
      <c r="J11" s="306"/>
      <c r="K11" s="302"/>
      <c r="L11" s="302"/>
      <c r="M11" s="302"/>
      <c r="N11" s="302"/>
      <c r="O11" s="303"/>
      <c r="P11" s="306"/>
      <c r="Q11" s="302"/>
      <c r="R11" s="302"/>
      <c r="S11" s="302"/>
      <c r="T11" s="302"/>
      <c r="U11" s="303"/>
      <c r="V11" s="306"/>
      <c r="W11" s="302"/>
      <c r="X11" s="302"/>
      <c r="Y11" s="302"/>
      <c r="Z11" s="302"/>
      <c r="AA11" s="303"/>
      <c r="AB11" s="306"/>
      <c r="AC11" s="302"/>
      <c r="AD11" s="302"/>
      <c r="AE11" s="302"/>
      <c r="AF11" s="302"/>
      <c r="AG11" s="303"/>
      <c r="AH11" s="313"/>
      <c r="AI11" s="314"/>
      <c r="AJ11" s="314"/>
      <c r="AK11" s="314"/>
      <c r="AL11" s="314"/>
      <c r="AM11" s="315"/>
      <c r="AN11" s="83"/>
      <c r="AO11" s="260"/>
      <c r="AP11" s="261"/>
      <c r="AQ11" s="261"/>
      <c r="AR11" s="261"/>
      <c r="AS11" s="261"/>
      <c r="AT11" s="262"/>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25">
      <c r="A12" s="83"/>
      <c r="B12" s="255"/>
      <c r="C12" s="255"/>
      <c r="D12" s="256"/>
      <c r="E12" s="296"/>
      <c r="F12" s="297"/>
      <c r="G12" s="297"/>
      <c r="H12" s="297"/>
      <c r="I12" s="298"/>
      <c r="J12" s="306" t="str">
        <f ca="1">IF(AND(academico!$H$64="Muy Alta",academico!$L$64="Leve"),CONCATENATE("R",academico!$A$64),"")</f>
        <v/>
      </c>
      <c r="K12" s="302"/>
      <c r="L12" s="302" t="str">
        <f>IF(AND(academico!$H$70="Muy Alta",academico!$L$70="Leve"),CONCATENATE("R",academico!$A$70),"")</f>
        <v/>
      </c>
      <c r="M12" s="302"/>
      <c r="N12" s="302" t="str">
        <f>IF(AND(academico!$H$76="Muy Alta",academico!$L$76="Leve"),CONCATENATE("R",academico!$A$76),"")</f>
        <v/>
      </c>
      <c r="O12" s="303"/>
      <c r="P12" s="306" t="str">
        <f ca="1">IF(AND(academico!$H$64="Muy Alta",academico!$L$64="Menor"),CONCATENATE("R",academico!$A$64),"")</f>
        <v/>
      </c>
      <c r="Q12" s="302"/>
      <c r="R12" s="302" t="str">
        <f>IF(AND(academico!$H$70="Muy Alta",academico!$L$70="Menor"),CONCATENATE("R",academico!$A$70),"")</f>
        <v/>
      </c>
      <c r="S12" s="302"/>
      <c r="T12" s="302" t="str">
        <f>IF(AND(academico!$H$76="Muy Alta",academico!$L$76="Menor"),CONCATENATE("R",academico!$A$76),"")</f>
        <v/>
      </c>
      <c r="U12" s="303"/>
      <c r="V12" s="306" t="str">
        <f ca="1">IF(AND(academico!$H$64="Muy Alta",academico!$L$64="Moderado"),CONCATENATE("R",academico!$A$64),"")</f>
        <v/>
      </c>
      <c r="W12" s="302"/>
      <c r="X12" s="302" t="str">
        <f>IF(AND(academico!$H$70="Muy Alta",academico!$L$70="Moderado"),CONCATENATE("R",academico!$A$70),"")</f>
        <v/>
      </c>
      <c r="Y12" s="302"/>
      <c r="Z12" s="302" t="str">
        <f>IF(AND(academico!$H$76="Muy Alta",academico!$L$76="Moderado"),CONCATENATE("R",academico!$A$76),"")</f>
        <v/>
      </c>
      <c r="AA12" s="303"/>
      <c r="AB12" s="306" t="str">
        <f ca="1">IF(AND(academico!$H$64="Muy Alta",academico!$L$64="Mayor"),CONCATENATE("R",academico!$A$64),"")</f>
        <v/>
      </c>
      <c r="AC12" s="302"/>
      <c r="AD12" s="302" t="str">
        <f>IF(AND(academico!$H$70="Muy Alta",academico!$L$70="Mayor"),CONCATENATE("R",academico!$A$70),"")</f>
        <v/>
      </c>
      <c r="AE12" s="302"/>
      <c r="AF12" s="302" t="str">
        <f>IF(AND(academico!$H$76="Muy Alta",academico!$L$76="Mayor"),CONCATENATE("R",academico!$A$76),"")</f>
        <v/>
      </c>
      <c r="AG12" s="303"/>
      <c r="AH12" s="313" t="str">
        <f ca="1">IF(AND(academico!$H$64="Muy Alta",academico!$L$64="Catastrófico"),CONCATENATE("R",academico!$A$64),"")</f>
        <v/>
      </c>
      <c r="AI12" s="314"/>
      <c r="AJ12" s="314" t="str">
        <f>IF(AND(academico!$H$70="Muy Alta",academico!$L$70="Catastrófico"),CONCATENATE("R",academico!$A$70),"")</f>
        <v/>
      </c>
      <c r="AK12" s="314"/>
      <c r="AL12" s="314" t="str">
        <f>IF(AND(academico!$H$76="Muy Alta",academico!$L$76="Catastrófico"),CONCATENATE("R",academico!$A$76),"")</f>
        <v/>
      </c>
      <c r="AM12" s="315"/>
      <c r="AN12" s="83"/>
      <c r="AO12" s="260"/>
      <c r="AP12" s="261"/>
      <c r="AQ12" s="261"/>
      <c r="AR12" s="261"/>
      <c r="AS12" s="261"/>
      <c r="AT12" s="262"/>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
      <c r="A13" s="83"/>
      <c r="B13" s="255"/>
      <c r="C13" s="255"/>
      <c r="D13" s="256"/>
      <c r="E13" s="299"/>
      <c r="F13" s="300"/>
      <c r="G13" s="300"/>
      <c r="H13" s="300"/>
      <c r="I13" s="301"/>
      <c r="J13" s="306"/>
      <c r="K13" s="302"/>
      <c r="L13" s="302"/>
      <c r="M13" s="302"/>
      <c r="N13" s="302"/>
      <c r="O13" s="303"/>
      <c r="P13" s="306"/>
      <c r="Q13" s="302"/>
      <c r="R13" s="302"/>
      <c r="S13" s="302"/>
      <c r="T13" s="302"/>
      <c r="U13" s="303"/>
      <c r="V13" s="306"/>
      <c r="W13" s="302"/>
      <c r="X13" s="302"/>
      <c r="Y13" s="302"/>
      <c r="Z13" s="302"/>
      <c r="AA13" s="303"/>
      <c r="AB13" s="306"/>
      <c r="AC13" s="302"/>
      <c r="AD13" s="302"/>
      <c r="AE13" s="302"/>
      <c r="AF13" s="302"/>
      <c r="AG13" s="303"/>
      <c r="AH13" s="316"/>
      <c r="AI13" s="317"/>
      <c r="AJ13" s="317"/>
      <c r="AK13" s="317"/>
      <c r="AL13" s="317"/>
      <c r="AM13" s="318"/>
      <c r="AN13" s="83"/>
      <c r="AO13" s="263"/>
      <c r="AP13" s="264"/>
      <c r="AQ13" s="264"/>
      <c r="AR13" s="264"/>
      <c r="AS13" s="264"/>
      <c r="AT13" s="265"/>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25">
      <c r="A14" s="83"/>
      <c r="B14" s="255"/>
      <c r="C14" s="255"/>
      <c r="D14" s="256"/>
      <c r="E14" s="293" t="s">
        <v>115</v>
      </c>
      <c r="F14" s="294"/>
      <c r="G14" s="294"/>
      <c r="H14" s="294"/>
      <c r="I14" s="294"/>
      <c r="J14" s="328" t="str">
        <f ca="1">IF(AND(academico!$H$10="Alta",academico!$L$10="Leve"),CONCATENATE("R",academico!$A$10),"")</f>
        <v/>
      </c>
      <c r="K14" s="329"/>
      <c r="L14" s="329" t="str">
        <f ca="1">IF(AND(academico!$H$16="Alta",academico!$L$16="Leve"),CONCATENATE("R",academico!$A$16),"")</f>
        <v/>
      </c>
      <c r="M14" s="329"/>
      <c r="N14" s="329" t="str">
        <f ca="1">IF(AND(academico!$H$22="Alta",academico!$L$22="Leve"),CONCATENATE("R",academico!$A$22),"")</f>
        <v/>
      </c>
      <c r="O14" s="330"/>
      <c r="P14" s="328" t="str">
        <f ca="1">IF(AND(academico!$H$10="Alta",academico!$L$10="Menor"),CONCATENATE("R",academico!$A$10),"")</f>
        <v/>
      </c>
      <c r="Q14" s="329"/>
      <c r="R14" s="329" t="str">
        <f ca="1">IF(AND(academico!$H$16="Alta",academico!$L$16="Menor"),CONCATENATE("R",academico!$A$16),"")</f>
        <v/>
      </c>
      <c r="S14" s="329"/>
      <c r="T14" s="329" t="str">
        <f ca="1">IF(AND(academico!$H$22="Alta",academico!$L$22="Menor"),CONCATENATE("R",academico!$A$22),"")</f>
        <v/>
      </c>
      <c r="U14" s="330"/>
      <c r="V14" s="304" t="str">
        <f ca="1">IF(AND(academico!$H$10="Alta",academico!$L$10="Moderado"),CONCATENATE("R",academico!$A$10),"")</f>
        <v/>
      </c>
      <c r="W14" s="305"/>
      <c r="X14" s="305" t="str">
        <f ca="1">IF(AND(academico!$H$16="Alta",academico!$L$16="Moderado"),CONCATENATE("R",academico!$A$16),"")</f>
        <v/>
      </c>
      <c r="Y14" s="305"/>
      <c r="Z14" s="305" t="str">
        <f ca="1">IF(AND(academico!$H$22="Alta",academico!$L$22="Moderado"),CONCATENATE("R",academico!$A$22),"")</f>
        <v/>
      </c>
      <c r="AA14" s="307"/>
      <c r="AB14" s="304" t="str">
        <f ca="1">IF(AND(academico!$H$10="Alta",academico!$L$10="Mayor"),CONCATENATE("R",academico!$A$10),"")</f>
        <v/>
      </c>
      <c r="AC14" s="305"/>
      <c r="AD14" s="305" t="str">
        <f ca="1">IF(AND(academico!$H$16="Alta",academico!$L$16="Mayor"),CONCATENATE("R",academico!$A$16),"")</f>
        <v/>
      </c>
      <c r="AE14" s="305"/>
      <c r="AF14" s="305" t="str">
        <f ca="1">IF(AND(academico!$H$22="Alta",academico!$L$22="Mayor"),CONCATENATE("R",academico!$A$22),"")</f>
        <v/>
      </c>
      <c r="AG14" s="307"/>
      <c r="AH14" s="319" t="str">
        <f ca="1">IF(AND(academico!$H$10="Alta",academico!$L$10="Catastrófico"),CONCATENATE("R",academico!$A$10),"")</f>
        <v/>
      </c>
      <c r="AI14" s="320"/>
      <c r="AJ14" s="320" t="str">
        <f ca="1">IF(AND(academico!$H$16="Alta",academico!$L$16="Catastrófico"),CONCATENATE("R",academico!$A$16),"")</f>
        <v/>
      </c>
      <c r="AK14" s="320"/>
      <c r="AL14" s="320" t="str">
        <f ca="1">IF(AND(academico!$H$22="Alta",academico!$L$22="Catastrófico"),CONCATENATE("R",academico!$A$22),"")</f>
        <v/>
      </c>
      <c r="AM14" s="321"/>
      <c r="AN14" s="83"/>
      <c r="AO14" s="266" t="s">
        <v>80</v>
      </c>
      <c r="AP14" s="267"/>
      <c r="AQ14" s="267"/>
      <c r="AR14" s="267"/>
      <c r="AS14" s="267"/>
      <c r="AT14" s="268"/>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25">
      <c r="A15" s="83"/>
      <c r="B15" s="255"/>
      <c r="C15" s="255"/>
      <c r="D15" s="256"/>
      <c r="E15" s="296"/>
      <c r="F15" s="297"/>
      <c r="G15" s="297"/>
      <c r="H15" s="297"/>
      <c r="I15" s="297"/>
      <c r="J15" s="322"/>
      <c r="K15" s="323"/>
      <c r="L15" s="323"/>
      <c r="M15" s="323"/>
      <c r="N15" s="323"/>
      <c r="O15" s="324"/>
      <c r="P15" s="322"/>
      <c r="Q15" s="323"/>
      <c r="R15" s="323"/>
      <c r="S15" s="323"/>
      <c r="T15" s="323"/>
      <c r="U15" s="324"/>
      <c r="V15" s="306"/>
      <c r="W15" s="302"/>
      <c r="X15" s="302"/>
      <c r="Y15" s="302"/>
      <c r="Z15" s="302"/>
      <c r="AA15" s="303"/>
      <c r="AB15" s="306"/>
      <c r="AC15" s="302"/>
      <c r="AD15" s="302"/>
      <c r="AE15" s="302"/>
      <c r="AF15" s="302"/>
      <c r="AG15" s="303"/>
      <c r="AH15" s="313"/>
      <c r="AI15" s="314"/>
      <c r="AJ15" s="314"/>
      <c r="AK15" s="314"/>
      <c r="AL15" s="314"/>
      <c r="AM15" s="315"/>
      <c r="AN15" s="83"/>
      <c r="AO15" s="269"/>
      <c r="AP15" s="270"/>
      <c r="AQ15" s="270"/>
      <c r="AR15" s="270"/>
      <c r="AS15" s="270"/>
      <c r="AT15" s="271"/>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25">
      <c r="A16" s="83"/>
      <c r="B16" s="255"/>
      <c r="C16" s="255"/>
      <c r="D16" s="256"/>
      <c r="E16" s="296"/>
      <c r="F16" s="297"/>
      <c r="G16" s="297"/>
      <c r="H16" s="297"/>
      <c r="I16" s="297"/>
      <c r="J16" s="322" t="str">
        <f ca="1">IF(AND(academico!$H$28="Alta",academico!$L$28="Leve"),CONCATENATE("R",academico!$A$28),"")</f>
        <v/>
      </c>
      <c r="K16" s="323"/>
      <c r="L16" s="323" t="str">
        <f ca="1">IF(AND(academico!$H$34="Alta",academico!$L$34="Leve"),CONCATENATE("R",academico!$A$34),"")</f>
        <v/>
      </c>
      <c r="M16" s="323"/>
      <c r="N16" s="323" t="str">
        <f ca="1">IF(AND(academico!$H$40="Alta",academico!$L$40="Leve"),CONCATENATE("R",academico!$A$40),"")</f>
        <v/>
      </c>
      <c r="O16" s="324"/>
      <c r="P16" s="322" t="str">
        <f ca="1">IF(AND(academico!$H$28="Alta",academico!$L$28="Menor"),CONCATENATE("R",academico!$A$28),"")</f>
        <v/>
      </c>
      <c r="Q16" s="323"/>
      <c r="R16" s="323" t="str">
        <f ca="1">IF(AND(academico!$H$34="Alta",academico!$L$34="Menor"),CONCATENATE("R",academico!$A$34),"")</f>
        <v/>
      </c>
      <c r="S16" s="323"/>
      <c r="T16" s="323" t="str">
        <f ca="1">IF(AND(academico!$H$40="Alta",academico!$L$40="Menor"),CONCATENATE("R",academico!$A$40),"")</f>
        <v/>
      </c>
      <c r="U16" s="324"/>
      <c r="V16" s="306" t="str">
        <f ca="1">IF(AND(academico!$H$28="Alta",academico!$L$28="Moderado"),CONCATENATE("R",academico!$A$28),"")</f>
        <v/>
      </c>
      <c r="W16" s="302"/>
      <c r="X16" s="302" t="str">
        <f ca="1">IF(AND(academico!$H$34="Alta",academico!$L$34="Moderado"),CONCATENATE("R",academico!$A$34),"")</f>
        <v/>
      </c>
      <c r="Y16" s="302"/>
      <c r="Z16" s="302" t="str">
        <f ca="1">IF(AND(academico!$H$40="Alta",academico!$L$40="Moderado"),CONCATENATE("R",academico!$A$40),"")</f>
        <v/>
      </c>
      <c r="AA16" s="303"/>
      <c r="AB16" s="306" t="str">
        <f ca="1">IF(AND(academico!$H$28="Alta",academico!$L$28="Mayor"),CONCATENATE("R",academico!$A$28),"")</f>
        <v/>
      </c>
      <c r="AC16" s="302"/>
      <c r="AD16" s="302" t="str">
        <f ca="1">IF(AND(academico!$H$34="Alta",academico!$L$34="Mayor"),CONCATENATE("R",academico!$A$34),"")</f>
        <v/>
      </c>
      <c r="AE16" s="302"/>
      <c r="AF16" s="302" t="str">
        <f ca="1">IF(AND(academico!$H$40="Alta",academico!$L$40="Mayor"),CONCATENATE("R",academico!$A$40),"")</f>
        <v/>
      </c>
      <c r="AG16" s="303"/>
      <c r="AH16" s="313" t="str">
        <f ca="1">IF(AND(academico!$H$28="Alta",academico!$L$28="Catastrófico"),CONCATENATE("R",academico!$A$28),"")</f>
        <v/>
      </c>
      <c r="AI16" s="314"/>
      <c r="AJ16" s="314" t="str">
        <f ca="1">IF(AND(academico!$H$34="Alta",academico!$L$34="Catastrófico"),CONCATENATE("R",academico!$A$34),"")</f>
        <v/>
      </c>
      <c r="AK16" s="314"/>
      <c r="AL16" s="314" t="str">
        <f ca="1">IF(AND(academico!$H$40="Alta",academico!$L$40="Catastrófico"),CONCATENATE("R",academico!$A$40),"")</f>
        <v/>
      </c>
      <c r="AM16" s="315"/>
      <c r="AN16" s="83"/>
      <c r="AO16" s="269"/>
      <c r="AP16" s="270"/>
      <c r="AQ16" s="270"/>
      <c r="AR16" s="270"/>
      <c r="AS16" s="270"/>
      <c r="AT16" s="271"/>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25">
      <c r="A17" s="83"/>
      <c r="B17" s="255"/>
      <c r="C17" s="255"/>
      <c r="D17" s="256"/>
      <c r="E17" s="296"/>
      <c r="F17" s="297"/>
      <c r="G17" s="297"/>
      <c r="H17" s="297"/>
      <c r="I17" s="297"/>
      <c r="J17" s="322"/>
      <c r="K17" s="323"/>
      <c r="L17" s="323"/>
      <c r="M17" s="323"/>
      <c r="N17" s="323"/>
      <c r="O17" s="324"/>
      <c r="P17" s="322"/>
      <c r="Q17" s="323"/>
      <c r="R17" s="323"/>
      <c r="S17" s="323"/>
      <c r="T17" s="323"/>
      <c r="U17" s="324"/>
      <c r="V17" s="306"/>
      <c r="W17" s="302"/>
      <c r="X17" s="302"/>
      <c r="Y17" s="302"/>
      <c r="Z17" s="302"/>
      <c r="AA17" s="303"/>
      <c r="AB17" s="306"/>
      <c r="AC17" s="302"/>
      <c r="AD17" s="302"/>
      <c r="AE17" s="302"/>
      <c r="AF17" s="302"/>
      <c r="AG17" s="303"/>
      <c r="AH17" s="313"/>
      <c r="AI17" s="314"/>
      <c r="AJ17" s="314"/>
      <c r="AK17" s="314"/>
      <c r="AL17" s="314"/>
      <c r="AM17" s="315"/>
      <c r="AN17" s="83"/>
      <c r="AO17" s="269"/>
      <c r="AP17" s="270"/>
      <c r="AQ17" s="270"/>
      <c r="AR17" s="270"/>
      <c r="AS17" s="270"/>
      <c r="AT17" s="271"/>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25">
      <c r="A18" s="83"/>
      <c r="B18" s="255"/>
      <c r="C18" s="255"/>
      <c r="D18" s="256"/>
      <c r="E18" s="296"/>
      <c r="F18" s="297"/>
      <c r="G18" s="297"/>
      <c r="H18" s="297"/>
      <c r="I18" s="297"/>
      <c r="J18" s="322" t="str">
        <f ca="1">IF(AND(academico!$H$46="Alta",academico!$L$46="Leve"),CONCATENATE("R",academico!$A$46),"")</f>
        <v/>
      </c>
      <c r="K18" s="323"/>
      <c r="L18" s="323" t="str">
        <f ca="1">IF(AND(academico!$H$52="Alta",academico!$L$52="Leve"),CONCATENATE("R",academico!$A$52),"")</f>
        <v/>
      </c>
      <c r="M18" s="323"/>
      <c r="N18" s="323" t="str">
        <f ca="1">IF(AND(academico!$H$58="Alta",academico!$L$58="Leve"),CONCATENATE("R",academico!$A$58),"")</f>
        <v/>
      </c>
      <c r="O18" s="324"/>
      <c r="P18" s="322" t="str">
        <f ca="1">IF(AND(academico!$H$46="Alta",academico!$L$46="Menor"),CONCATENATE("R",academico!$A$46),"")</f>
        <v/>
      </c>
      <c r="Q18" s="323"/>
      <c r="R18" s="323" t="str">
        <f ca="1">IF(AND(academico!$H$52="Alta",academico!$L$52="Menor"),CONCATENATE("R",academico!$A$52),"")</f>
        <v/>
      </c>
      <c r="S18" s="323"/>
      <c r="T18" s="323" t="str">
        <f ca="1">IF(AND(academico!$H$58="Alta",academico!$L$58="Menor"),CONCATENATE("R",academico!$A$58),"")</f>
        <v/>
      </c>
      <c r="U18" s="324"/>
      <c r="V18" s="306" t="str">
        <f ca="1">IF(AND(academico!$H$46="Alta",academico!$L$46="Moderado"),CONCATENATE("R",academico!$A$46),"")</f>
        <v/>
      </c>
      <c r="W18" s="302"/>
      <c r="X18" s="302" t="str">
        <f ca="1">IF(AND(academico!$H$52="Alta",academico!$L$52="Moderado"),CONCATENATE("R",academico!$A$52),"")</f>
        <v/>
      </c>
      <c r="Y18" s="302"/>
      <c r="Z18" s="302" t="str">
        <f ca="1">IF(AND(academico!$H$58="Alta",academico!$L$58="Moderado"),CONCATENATE("R",academico!$A$58),"")</f>
        <v/>
      </c>
      <c r="AA18" s="303"/>
      <c r="AB18" s="306" t="str">
        <f ca="1">IF(AND(academico!$H$46="Alta",academico!$L$46="Mayor"),CONCATENATE("R",academico!$A$46),"")</f>
        <v/>
      </c>
      <c r="AC18" s="302"/>
      <c r="AD18" s="302" t="str">
        <f ca="1">IF(AND(academico!$H$52="Alta",academico!$L$52="Mayor"),CONCATENATE("R",academico!$A$52),"")</f>
        <v/>
      </c>
      <c r="AE18" s="302"/>
      <c r="AF18" s="302" t="str">
        <f ca="1">IF(AND(academico!$H$58="Alta",academico!$L$58="Mayor"),CONCATENATE("R",academico!$A$58),"")</f>
        <v/>
      </c>
      <c r="AG18" s="303"/>
      <c r="AH18" s="313" t="str">
        <f ca="1">IF(AND(academico!$H$46="Alta",academico!$L$46="Catastrófico"),CONCATENATE("R",academico!$A$46),"")</f>
        <v/>
      </c>
      <c r="AI18" s="314"/>
      <c r="AJ18" s="314" t="str">
        <f ca="1">IF(AND(academico!$H$52="Alta",academico!$L$52="Catastrófico"),CONCATENATE("R",academico!$A$52),"")</f>
        <v/>
      </c>
      <c r="AK18" s="314"/>
      <c r="AL18" s="314" t="str">
        <f ca="1">IF(AND(academico!$H$58="Alta",academico!$L$58="Catastrófico"),CONCATENATE("R",academico!$A$58),"")</f>
        <v/>
      </c>
      <c r="AM18" s="315"/>
      <c r="AN18" s="83"/>
      <c r="AO18" s="269"/>
      <c r="AP18" s="270"/>
      <c r="AQ18" s="270"/>
      <c r="AR18" s="270"/>
      <c r="AS18" s="270"/>
      <c r="AT18" s="271"/>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25">
      <c r="A19" s="83"/>
      <c r="B19" s="255"/>
      <c r="C19" s="255"/>
      <c r="D19" s="256"/>
      <c r="E19" s="296"/>
      <c r="F19" s="297"/>
      <c r="G19" s="297"/>
      <c r="H19" s="297"/>
      <c r="I19" s="297"/>
      <c r="J19" s="322"/>
      <c r="K19" s="323"/>
      <c r="L19" s="323"/>
      <c r="M19" s="323"/>
      <c r="N19" s="323"/>
      <c r="O19" s="324"/>
      <c r="P19" s="322"/>
      <c r="Q19" s="323"/>
      <c r="R19" s="323"/>
      <c r="S19" s="323"/>
      <c r="T19" s="323"/>
      <c r="U19" s="324"/>
      <c r="V19" s="306"/>
      <c r="W19" s="302"/>
      <c r="X19" s="302"/>
      <c r="Y19" s="302"/>
      <c r="Z19" s="302"/>
      <c r="AA19" s="303"/>
      <c r="AB19" s="306"/>
      <c r="AC19" s="302"/>
      <c r="AD19" s="302"/>
      <c r="AE19" s="302"/>
      <c r="AF19" s="302"/>
      <c r="AG19" s="303"/>
      <c r="AH19" s="313"/>
      <c r="AI19" s="314"/>
      <c r="AJ19" s="314"/>
      <c r="AK19" s="314"/>
      <c r="AL19" s="314"/>
      <c r="AM19" s="315"/>
      <c r="AN19" s="83"/>
      <c r="AO19" s="269"/>
      <c r="AP19" s="270"/>
      <c r="AQ19" s="270"/>
      <c r="AR19" s="270"/>
      <c r="AS19" s="270"/>
      <c r="AT19" s="271"/>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25">
      <c r="A20" s="83"/>
      <c r="B20" s="255"/>
      <c r="C20" s="255"/>
      <c r="D20" s="256"/>
      <c r="E20" s="296"/>
      <c r="F20" s="297"/>
      <c r="G20" s="297"/>
      <c r="H20" s="297"/>
      <c r="I20" s="297"/>
      <c r="J20" s="322" t="str">
        <f ca="1">IF(AND(academico!$H$64="Alta",academico!$L$64="Leve"),CONCATENATE("R",academico!$A$64),"")</f>
        <v/>
      </c>
      <c r="K20" s="323"/>
      <c r="L20" s="323" t="str">
        <f>IF(AND(academico!$H$70="Alta",academico!$L$70="Leve"),CONCATENATE("R",academico!$A$70),"")</f>
        <v/>
      </c>
      <c r="M20" s="323"/>
      <c r="N20" s="323" t="str">
        <f>IF(AND(academico!$H$76="Alta",academico!$L$76="Leve"),CONCATENATE("R",academico!$A$76),"")</f>
        <v/>
      </c>
      <c r="O20" s="324"/>
      <c r="P20" s="322" t="str">
        <f ca="1">IF(AND(academico!$H$64="Alta",academico!$L$64="Menor"),CONCATENATE("R",academico!$A$64),"")</f>
        <v/>
      </c>
      <c r="Q20" s="323"/>
      <c r="R20" s="323" t="str">
        <f>IF(AND(academico!$H$70="Alta",academico!$L$70="Menor"),CONCATENATE("R",academico!$A$70),"")</f>
        <v/>
      </c>
      <c r="S20" s="323"/>
      <c r="T20" s="323" t="str">
        <f>IF(AND(academico!$H$76="Alta",academico!$L$76="Menor"),CONCATENATE("R",academico!$A$76),"")</f>
        <v/>
      </c>
      <c r="U20" s="324"/>
      <c r="V20" s="306" t="str">
        <f ca="1">IF(AND(academico!$H$64="Alta",academico!$L$64="Moderado"),CONCATENATE("R",academico!$A$64),"")</f>
        <v/>
      </c>
      <c r="W20" s="302"/>
      <c r="X20" s="302" t="str">
        <f>IF(AND(academico!$H$70="Alta",academico!$L$70="Moderado"),CONCATENATE("R",academico!$A$70),"")</f>
        <v/>
      </c>
      <c r="Y20" s="302"/>
      <c r="Z20" s="302" t="str">
        <f>IF(AND(academico!$H$76="Alta",academico!$L$76="Moderado"),CONCATENATE("R",academico!$A$76),"")</f>
        <v/>
      </c>
      <c r="AA20" s="303"/>
      <c r="AB20" s="306" t="str">
        <f ca="1">IF(AND(academico!$H$64="Alta",academico!$L$64="Mayor"),CONCATENATE("R",academico!$A$64),"")</f>
        <v/>
      </c>
      <c r="AC20" s="302"/>
      <c r="AD20" s="302" t="str">
        <f>IF(AND(academico!$H$70="Alta",academico!$L$70="Mayor"),CONCATENATE("R",academico!$A$70),"")</f>
        <v/>
      </c>
      <c r="AE20" s="302"/>
      <c r="AF20" s="302" t="str">
        <f>IF(AND(academico!$H$76="Alta",academico!$L$76="Mayor"),CONCATENATE("R",academico!$A$76),"")</f>
        <v/>
      </c>
      <c r="AG20" s="303"/>
      <c r="AH20" s="313" t="str">
        <f ca="1">IF(AND(academico!$H$64="Alta",academico!$L$64="Catastrófico"),CONCATENATE("R",academico!$A$64),"")</f>
        <v/>
      </c>
      <c r="AI20" s="314"/>
      <c r="AJ20" s="314" t="str">
        <f>IF(AND(academico!$H$70="Alta",academico!$L$70="Catastrófico"),CONCATENATE("R",academico!$A$70),"")</f>
        <v/>
      </c>
      <c r="AK20" s="314"/>
      <c r="AL20" s="314" t="str">
        <f>IF(AND(academico!$H$76="Alta",academico!$L$76="Catastrófico"),CONCATENATE("R",academico!$A$76),"")</f>
        <v/>
      </c>
      <c r="AM20" s="315"/>
      <c r="AN20" s="83"/>
      <c r="AO20" s="269"/>
      <c r="AP20" s="270"/>
      <c r="AQ20" s="270"/>
      <c r="AR20" s="270"/>
      <c r="AS20" s="270"/>
      <c r="AT20" s="271"/>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
      <c r="A21" s="83"/>
      <c r="B21" s="255"/>
      <c r="C21" s="255"/>
      <c r="D21" s="256"/>
      <c r="E21" s="299"/>
      <c r="F21" s="300"/>
      <c r="G21" s="300"/>
      <c r="H21" s="300"/>
      <c r="I21" s="300"/>
      <c r="J21" s="325"/>
      <c r="K21" s="326"/>
      <c r="L21" s="326"/>
      <c r="M21" s="326"/>
      <c r="N21" s="326"/>
      <c r="O21" s="327"/>
      <c r="P21" s="325"/>
      <c r="Q21" s="326"/>
      <c r="R21" s="326"/>
      <c r="S21" s="326"/>
      <c r="T21" s="326"/>
      <c r="U21" s="327"/>
      <c r="V21" s="310"/>
      <c r="W21" s="311"/>
      <c r="X21" s="311"/>
      <c r="Y21" s="311"/>
      <c r="Z21" s="311"/>
      <c r="AA21" s="312"/>
      <c r="AB21" s="310"/>
      <c r="AC21" s="311"/>
      <c r="AD21" s="311"/>
      <c r="AE21" s="311"/>
      <c r="AF21" s="311"/>
      <c r="AG21" s="312"/>
      <c r="AH21" s="316"/>
      <c r="AI21" s="317"/>
      <c r="AJ21" s="317"/>
      <c r="AK21" s="317"/>
      <c r="AL21" s="317"/>
      <c r="AM21" s="318"/>
      <c r="AN21" s="83"/>
      <c r="AO21" s="272"/>
      <c r="AP21" s="273"/>
      <c r="AQ21" s="273"/>
      <c r="AR21" s="273"/>
      <c r="AS21" s="273"/>
      <c r="AT21" s="274"/>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25">
      <c r="A22" s="83"/>
      <c r="B22" s="255"/>
      <c r="C22" s="255"/>
      <c r="D22" s="256"/>
      <c r="E22" s="293" t="s">
        <v>117</v>
      </c>
      <c r="F22" s="294"/>
      <c r="G22" s="294"/>
      <c r="H22" s="294"/>
      <c r="I22" s="295"/>
      <c r="J22" s="328" t="str">
        <f ca="1">IF(AND(academico!$H$10="Media",academico!$L$10="Leve"),CONCATENATE("R",academico!$A$10),"")</f>
        <v/>
      </c>
      <c r="K22" s="329"/>
      <c r="L22" s="329" t="str">
        <f ca="1">IF(AND(academico!$H$16="Media",academico!$L$16="Leve"),CONCATENATE("R",academico!$A$16),"")</f>
        <v/>
      </c>
      <c r="M22" s="329"/>
      <c r="N22" s="329" t="str">
        <f ca="1">IF(AND(academico!$H$22="Media",academico!$L$22="Leve"),CONCATENATE("R",academico!$A$22),"")</f>
        <v/>
      </c>
      <c r="O22" s="330"/>
      <c r="P22" s="328" t="str">
        <f ca="1">IF(AND(academico!$H$10="Media",academico!$L$10="Menor"),CONCATENATE("R",academico!$A$10),"")</f>
        <v/>
      </c>
      <c r="Q22" s="329"/>
      <c r="R22" s="329" t="str">
        <f ca="1">IF(AND(academico!$H$16="Media",academico!$L$16="Menor"),CONCATENATE("R",academico!$A$16),"")</f>
        <v/>
      </c>
      <c r="S22" s="329"/>
      <c r="T22" s="329" t="str">
        <f ca="1">IF(AND(academico!$H$22="Media",academico!$L$22="Menor"),CONCATENATE("R",academico!$A$22),"")</f>
        <v/>
      </c>
      <c r="U22" s="330"/>
      <c r="V22" s="328" t="str">
        <f ca="1">IF(AND(academico!$H$10="Media",academico!$L$10="Moderado"),CONCATENATE("R",academico!$A$10),"")</f>
        <v/>
      </c>
      <c r="W22" s="329"/>
      <c r="X22" s="329" t="str">
        <f ca="1">IF(AND(academico!$H$16="Media",academico!$L$16="Moderado"),CONCATENATE("R",academico!$A$16),"")</f>
        <v/>
      </c>
      <c r="Y22" s="329"/>
      <c r="Z22" s="329" t="str">
        <f ca="1">IF(AND(academico!$H$22="Media",academico!$L$22="Moderado"),CONCATENATE("R",academico!$A$22),"")</f>
        <v/>
      </c>
      <c r="AA22" s="330"/>
      <c r="AB22" s="304" t="str">
        <f ca="1">IF(AND(academico!$H$10="Media",academico!$L$10="Mayor"),CONCATENATE("R",academico!$A$10),"")</f>
        <v>R1</v>
      </c>
      <c r="AC22" s="305"/>
      <c r="AD22" s="305" t="str">
        <f ca="1">IF(AND(academico!$H$16="Media",academico!$L$16="Mayor"),CONCATENATE("R",academico!$A$16),"")</f>
        <v/>
      </c>
      <c r="AE22" s="305"/>
      <c r="AF22" s="305" t="str">
        <f ca="1">IF(AND(academico!$H$22="Media",academico!$L$22="Mayor"),CONCATENATE("R",academico!$A$22),"")</f>
        <v/>
      </c>
      <c r="AG22" s="307"/>
      <c r="AH22" s="319" t="str">
        <f ca="1">IF(AND(academico!$H$10="Media",academico!$L$10="Catastrófico"),CONCATENATE("R",academico!$A$10),"")</f>
        <v/>
      </c>
      <c r="AI22" s="320"/>
      <c r="AJ22" s="320" t="str">
        <f ca="1">IF(AND(academico!$H$16="Media",academico!$L$16="Catastrófico"),CONCATENATE("R",academico!$A$16),"")</f>
        <v/>
      </c>
      <c r="AK22" s="320"/>
      <c r="AL22" s="320" t="str">
        <f ca="1">IF(AND(academico!$H$22="Media",academico!$L$22="Catastrófico"),CONCATENATE("R",academico!$A$22),"")</f>
        <v/>
      </c>
      <c r="AM22" s="321"/>
      <c r="AN22" s="83"/>
      <c r="AO22" s="275" t="s">
        <v>81</v>
      </c>
      <c r="AP22" s="276"/>
      <c r="AQ22" s="276"/>
      <c r="AR22" s="276"/>
      <c r="AS22" s="276"/>
      <c r="AT22" s="277"/>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25">
      <c r="A23" s="83"/>
      <c r="B23" s="255"/>
      <c r="C23" s="255"/>
      <c r="D23" s="256"/>
      <c r="E23" s="296"/>
      <c r="F23" s="297"/>
      <c r="G23" s="297"/>
      <c r="H23" s="297"/>
      <c r="I23" s="298"/>
      <c r="J23" s="322"/>
      <c r="K23" s="323"/>
      <c r="L23" s="323"/>
      <c r="M23" s="323"/>
      <c r="N23" s="323"/>
      <c r="O23" s="324"/>
      <c r="P23" s="322"/>
      <c r="Q23" s="323"/>
      <c r="R23" s="323"/>
      <c r="S23" s="323"/>
      <c r="T23" s="323"/>
      <c r="U23" s="324"/>
      <c r="V23" s="322"/>
      <c r="W23" s="323"/>
      <c r="X23" s="323"/>
      <c r="Y23" s="323"/>
      <c r="Z23" s="323"/>
      <c r="AA23" s="324"/>
      <c r="AB23" s="306"/>
      <c r="AC23" s="302"/>
      <c r="AD23" s="302"/>
      <c r="AE23" s="302"/>
      <c r="AF23" s="302"/>
      <c r="AG23" s="303"/>
      <c r="AH23" s="313"/>
      <c r="AI23" s="314"/>
      <c r="AJ23" s="314"/>
      <c r="AK23" s="314"/>
      <c r="AL23" s="314"/>
      <c r="AM23" s="315"/>
      <c r="AN23" s="83"/>
      <c r="AO23" s="278"/>
      <c r="AP23" s="279"/>
      <c r="AQ23" s="279"/>
      <c r="AR23" s="279"/>
      <c r="AS23" s="279"/>
      <c r="AT23" s="280"/>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25">
      <c r="A24" s="83"/>
      <c r="B24" s="255"/>
      <c r="C24" s="255"/>
      <c r="D24" s="256"/>
      <c r="E24" s="296"/>
      <c r="F24" s="297"/>
      <c r="G24" s="297"/>
      <c r="H24" s="297"/>
      <c r="I24" s="298"/>
      <c r="J24" s="322" t="str">
        <f ca="1">IF(AND(academico!$H$28="Media",academico!$L$28="Leve"),CONCATENATE("R",academico!$A$28),"")</f>
        <v/>
      </c>
      <c r="K24" s="323"/>
      <c r="L24" s="323" t="str">
        <f ca="1">IF(AND(academico!$H$34="Media",academico!$L$34="Leve"),CONCATENATE("R",academico!$A$34),"")</f>
        <v/>
      </c>
      <c r="M24" s="323"/>
      <c r="N24" s="323" t="str">
        <f ca="1">IF(AND(academico!$H$40="Media",academico!$L$40="Leve"),CONCATENATE("R",academico!$A$40),"")</f>
        <v/>
      </c>
      <c r="O24" s="324"/>
      <c r="P24" s="322" t="str">
        <f ca="1">IF(AND(academico!$H$28="Media",academico!$L$28="Menor"),CONCATENATE("R",academico!$A$28),"")</f>
        <v/>
      </c>
      <c r="Q24" s="323"/>
      <c r="R24" s="323" t="str">
        <f ca="1">IF(AND(academico!$H$34="Media",academico!$L$34="Menor"),CONCATENATE("R",academico!$A$34),"")</f>
        <v/>
      </c>
      <c r="S24" s="323"/>
      <c r="T24" s="323" t="str">
        <f ca="1">IF(AND(academico!$H$40="Media",academico!$L$40="Menor"),CONCATENATE("R",academico!$A$40),"")</f>
        <v/>
      </c>
      <c r="U24" s="324"/>
      <c r="V24" s="322" t="str">
        <f ca="1">IF(AND(academico!$H$28="Media",academico!$L$28="Moderado"),CONCATENATE("R",academico!$A$28),"")</f>
        <v/>
      </c>
      <c r="W24" s="323"/>
      <c r="X24" s="323" t="str">
        <f ca="1">IF(AND(academico!$H$34="Media",academico!$L$34="Moderado"),CONCATENATE("R",academico!$A$34),"")</f>
        <v/>
      </c>
      <c r="Y24" s="323"/>
      <c r="Z24" s="323" t="str">
        <f ca="1">IF(AND(academico!$H$40="Media",academico!$L$40="Moderado"),CONCATENATE("R",academico!$A$40),"")</f>
        <v/>
      </c>
      <c r="AA24" s="324"/>
      <c r="AB24" s="306" t="str">
        <f ca="1">IF(AND(academico!$H$28="Media",academico!$L$28="Mayor"),CONCATENATE("R",academico!$A$28),"")</f>
        <v/>
      </c>
      <c r="AC24" s="302"/>
      <c r="AD24" s="302" t="str">
        <f ca="1">IF(AND(academico!$H$34="Media",academico!$L$34="Mayor"),CONCATENATE("R",academico!$A$34),"")</f>
        <v/>
      </c>
      <c r="AE24" s="302"/>
      <c r="AF24" s="302" t="str">
        <f ca="1">IF(AND(academico!$H$40="Media",academico!$L$40="Mayor"),CONCATENATE("R",academico!$A$40),"")</f>
        <v/>
      </c>
      <c r="AG24" s="303"/>
      <c r="AH24" s="313" t="str">
        <f ca="1">IF(AND(academico!$H$28="Media",academico!$L$28="Catastrófico"),CONCATENATE("R",academico!$A$28),"")</f>
        <v/>
      </c>
      <c r="AI24" s="314"/>
      <c r="AJ24" s="314" t="str">
        <f ca="1">IF(AND(academico!$H$34="Media",academico!$L$34="Catastrófico"),CONCATENATE("R",academico!$A$34),"")</f>
        <v/>
      </c>
      <c r="AK24" s="314"/>
      <c r="AL24" s="314" t="str">
        <f ca="1">IF(AND(academico!$H$40="Media",academico!$L$40="Catastrófico"),CONCATENATE("R",academico!$A$40),"")</f>
        <v/>
      </c>
      <c r="AM24" s="315"/>
      <c r="AN24" s="83"/>
      <c r="AO24" s="278"/>
      <c r="AP24" s="279"/>
      <c r="AQ24" s="279"/>
      <c r="AR24" s="279"/>
      <c r="AS24" s="279"/>
      <c r="AT24" s="280"/>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25">
      <c r="A25" s="83"/>
      <c r="B25" s="255"/>
      <c r="C25" s="255"/>
      <c r="D25" s="256"/>
      <c r="E25" s="296"/>
      <c r="F25" s="297"/>
      <c r="G25" s="297"/>
      <c r="H25" s="297"/>
      <c r="I25" s="298"/>
      <c r="J25" s="322"/>
      <c r="K25" s="323"/>
      <c r="L25" s="323"/>
      <c r="M25" s="323"/>
      <c r="N25" s="323"/>
      <c r="O25" s="324"/>
      <c r="P25" s="322"/>
      <c r="Q25" s="323"/>
      <c r="R25" s="323"/>
      <c r="S25" s="323"/>
      <c r="T25" s="323"/>
      <c r="U25" s="324"/>
      <c r="V25" s="322"/>
      <c r="W25" s="323"/>
      <c r="X25" s="323"/>
      <c r="Y25" s="323"/>
      <c r="Z25" s="323"/>
      <c r="AA25" s="324"/>
      <c r="AB25" s="306"/>
      <c r="AC25" s="302"/>
      <c r="AD25" s="302"/>
      <c r="AE25" s="302"/>
      <c r="AF25" s="302"/>
      <c r="AG25" s="303"/>
      <c r="AH25" s="313"/>
      <c r="AI25" s="314"/>
      <c r="AJ25" s="314"/>
      <c r="AK25" s="314"/>
      <c r="AL25" s="314"/>
      <c r="AM25" s="315"/>
      <c r="AN25" s="83"/>
      <c r="AO25" s="278"/>
      <c r="AP25" s="279"/>
      <c r="AQ25" s="279"/>
      <c r="AR25" s="279"/>
      <c r="AS25" s="279"/>
      <c r="AT25" s="280"/>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25">
      <c r="A26" s="83"/>
      <c r="B26" s="255"/>
      <c r="C26" s="255"/>
      <c r="D26" s="256"/>
      <c r="E26" s="296"/>
      <c r="F26" s="297"/>
      <c r="G26" s="297"/>
      <c r="H26" s="297"/>
      <c r="I26" s="298"/>
      <c r="J26" s="322" t="str">
        <f ca="1">IF(AND(academico!$H$46="Media",academico!$L$46="Leve"),CONCATENATE("R",academico!$A$46),"")</f>
        <v/>
      </c>
      <c r="K26" s="323"/>
      <c r="L26" s="323" t="str">
        <f ca="1">IF(AND(academico!$H$52="Media",academico!$L$52="Leve"),CONCATENATE("R",academico!$A$52),"")</f>
        <v/>
      </c>
      <c r="M26" s="323"/>
      <c r="N26" s="323" t="str">
        <f ca="1">IF(AND(academico!$H$58="Media",academico!$L$58="Leve"),CONCATENATE("R",academico!$A$58),"")</f>
        <v/>
      </c>
      <c r="O26" s="324"/>
      <c r="P26" s="322" t="str">
        <f ca="1">IF(AND(academico!$H$46="Media",academico!$L$46="Menor"),CONCATENATE("R",academico!$A$46),"")</f>
        <v/>
      </c>
      <c r="Q26" s="323"/>
      <c r="R26" s="323" t="str">
        <f ca="1">IF(AND(academico!$H$52="Media",academico!$L$52="Menor"),CONCATENATE("R",academico!$A$52),"")</f>
        <v/>
      </c>
      <c r="S26" s="323"/>
      <c r="T26" s="323" t="str">
        <f ca="1">IF(AND(academico!$H$58="Media",academico!$L$58="Menor"),CONCATENATE("R",academico!$A$58),"")</f>
        <v/>
      </c>
      <c r="U26" s="324"/>
      <c r="V26" s="322" t="str">
        <f ca="1">IF(AND(academico!$H$46="Media",academico!$L$46="Moderado"),CONCATENATE("R",academico!$A$46),"")</f>
        <v/>
      </c>
      <c r="W26" s="323"/>
      <c r="X26" s="323" t="str">
        <f ca="1">IF(AND(academico!$H$52="Media",academico!$L$52="Moderado"),CONCATENATE("R",academico!$A$52),"")</f>
        <v/>
      </c>
      <c r="Y26" s="323"/>
      <c r="Z26" s="323" t="str">
        <f ca="1">IF(AND(academico!$H$58="Media",academico!$L$58="Moderado"),CONCATENATE("R",academico!$A$58),"")</f>
        <v/>
      </c>
      <c r="AA26" s="324"/>
      <c r="AB26" s="306" t="str">
        <f ca="1">IF(AND(academico!$H$46="Media",academico!$L$46="Mayor"),CONCATENATE("R",academico!$A$46),"")</f>
        <v/>
      </c>
      <c r="AC26" s="302"/>
      <c r="AD26" s="302" t="str">
        <f ca="1">IF(AND(academico!$H$52="Media",academico!$L$52="Mayor"),CONCATENATE("R",academico!$A$52),"")</f>
        <v/>
      </c>
      <c r="AE26" s="302"/>
      <c r="AF26" s="302" t="str">
        <f ca="1">IF(AND(academico!$H$58="Media",academico!$L$58="Mayor"),CONCATENATE("R",academico!$A$58),"")</f>
        <v/>
      </c>
      <c r="AG26" s="303"/>
      <c r="AH26" s="313" t="str">
        <f ca="1">IF(AND(academico!$H$46="Media",academico!$L$46="Catastrófico"),CONCATENATE("R",academico!$A$46),"")</f>
        <v/>
      </c>
      <c r="AI26" s="314"/>
      <c r="AJ26" s="314" t="str">
        <f ca="1">IF(AND(academico!$H$52="Media",academico!$L$52="Catastrófico"),CONCATENATE("R",academico!$A$52),"")</f>
        <v/>
      </c>
      <c r="AK26" s="314"/>
      <c r="AL26" s="314" t="str">
        <f ca="1">IF(AND(academico!$H$58="Media",academico!$L$58="Catastrófico"),CONCATENATE("R",academico!$A$58),"")</f>
        <v/>
      </c>
      <c r="AM26" s="315"/>
      <c r="AN26" s="83"/>
      <c r="AO26" s="278"/>
      <c r="AP26" s="279"/>
      <c r="AQ26" s="279"/>
      <c r="AR26" s="279"/>
      <c r="AS26" s="279"/>
      <c r="AT26" s="280"/>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25">
      <c r="A27" s="83"/>
      <c r="B27" s="255"/>
      <c r="C27" s="255"/>
      <c r="D27" s="256"/>
      <c r="E27" s="296"/>
      <c r="F27" s="297"/>
      <c r="G27" s="297"/>
      <c r="H27" s="297"/>
      <c r="I27" s="298"/>
      <c r="J27" s="322"/>
      <c r="K27" s="323"/>
      <c r="L27" s="323"/>
      <c r="M27" s="323"/>
      <c r="N27" s="323"/>
      <c r="O27" s="324"/>
      <c r="P27" s="322"/>
      <c r="Q27" s="323"/>
      <c r="R27" s="323"/>
      <c r="S27" s="323"/>
      <c r="T27" s="323"/>
      <c r="U27" s="324"/>
      <c r="V27" s="322"/>
      <c r="W27" s="323"/>
      <c r="X27" s="323"/>
      <c r="Y27" s="323"/>
      <c r="Z27" s="323"/>
      <c r="AA27" s="324"/>
      <c r="AB27" s="306"/>
      <c r="AC27" s="302"/>
      <c r="AD27" s="302"/>
      <c r="AE27" s="302"/>
      <c r="AF27" s="302"/>
      <c r="AG27" s="303"/>
      <c r="AH27" s="313"/>
      <c r="AI27" s="314"/>
      <c r="AJ27" s="314"/>
      <c r="AK27" s="314"/>
      <c r="AL27" s="314"/>
      <c r="AM27" s="315"/>
      <c r="AN27" s="83"/>
      <c r="AO27" s="278"/>
      <c r="AP27" s="279"/>
      <c r="AQ27" s="279"/>
      <c r="AR27" s="279"/>
      <c r="AS27" s="279"/>
      <c r="AT27" s="280"/>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25">
      <c r="A28" s="83"/>
      <c r="B28" s="255"/>
      <c r="C28" s="255"/>
      <c r="D28" s="256"/>
      <c r="E28" s="296"/>
      <c r="F28" s="297"/>
      <c r="G28" s="297"/>
      <c r="H28" s="297"/>
      <c r="I28" s="298"/>
      <c r="J28" s="322" t="str">
        <f ca="1">IF(AND(academico!$H$64="Media",academico!$L$64="Leve"),CONCATENATE("R",academico!$A$64),"")</f>
        <v/>
      </c>
      <c r="K28" s="323"/>
      <c r="L28" s="323" t="str">
        <f>IF(AND(academico!$H$70="Media",academico!$L$70="Leve"),CONCATENATE("R",academico!$A$70),"")</f>
        <v/>
      </c>
      <c r="M28" s="323"/>
      <c r="N28" s="323" t="str">
        <f>IF(AND(academico!$H$76="Media",academico!$L$76="Leve"),CONCATENATE("R",academico!$A$76),"")</f>
        <v/>
      </c>
      <c r="O28" s="324"/>
      <c r="P28" s="322" t="str">
        <f ca="1">IF(AND(academico!$H$64="Media",academico!$L$64="Menor"),CONCATENATE("R",academico!$A$64),"")</f>
        <v/>
      </c>
      <c r="Q28" s="323"/>
      <c r="R28" s="323" t="str">
        <f>IF(AND(academico!$H$70="Media",academico!$L$70="Menor"),CONCATENATE("R",academico!$A$70),"")</f>
        <v/>
      </c>
      <c r="S28" s="323"/>
      <c r="T28" s="323" t="str">
        <f>IF(AND(academico!$H$76="Media",academico!$L$76="Menor"),CONCATENATE("R",academico!$A$76),"")</f>
        <v/>
      </c>
      <c r="U28" s="324"/>
      <c r="V28" s="322" t="str">
        <f ca="1">IF(AND(academico!$H$64="Media",academico!$L$64="Moderado"),CONCATENATE("R",academico!$A$64),"")</f>
        <v/>
      </c>
      <c r="W28" s="323"/>
      <c r="X28" s="323" t="str">
        <f>IF(AND(academico!$H$70="Media",academico!$L$70="Moderado"),CONCATENATE("R",academico!$A$70),"")</f>
        <v/>
      </c>
      <c r="Y28" s="323"/>
      <c r="Z28" s="323" t="str">
        <f>IF(AND(academico!$H$76="Media",academico!$L$76="Moderado"),CONCATENATE("R",academico!$A$76),"")</f>
        <v/>
      </c>
      <c r="AA28" s="324"/>
      <c r="AB28" s="306" t="str">
        <f ca="1">IF(AND(academico!$H$64="Media",academico!$L$64="Mayor"),CONCATENATE("R",academico!$A$64),"")</f>
        <v/>
      </c>
      <c r="AC28" s="302"/>
      <c r="AD28" s="302" t="str">
        <f>IF(AND(academico!$H$70="Media",academico!$L$70="Mayor"),CONCATENATE("R",academico!$A$70),"")</f>
        <v/>
      </c>
      <c r="AE28" s="302"/>
      <c r="AF28" s="302" t="str">
        <f>IF(AND(academico!$H$76="Media",academico!$L$76="Mayor"),CONCATENATE("R",academico!$A$76),"")</f>
        <v/>
      </c>
      <c r="AG28" s="303"/>
      <c r="AH28" s="313" t="str">
        <f ca="1">IF(AND(academico!$H$64="Media",academico!$L$64="Catastrófico"),CONCATENATE("R",academico!$A$64),"")</f>
        <v/>
      </c>
      <c r="AI28" s="314"/>
      <c r="AJ28" s="314" t="str">
        <f>IF(AND(academico!$H$70="Media",academico!$L$70="Catastrófico"),CONCATENATE("R",academico!$A$70),"")</f>
        <v/>
      </c>
      <c r="AK28" s="314"/>
      <c r="AL28" s="314" t="str">
        <f>IF(AND(academico!$H$76="Media",academico!$L$76="Catastrófico"),CONCATENATE("R",academico!$A$76),"")</f>
        <v/>
      </c>
      <c r="AM28" s="315"/>
      <c r="AN28" s="83"/>
      <c r="AO28" s="278"/>
      <c r="AP28" s="279"/>
      <c r="AQ28" s="279"/>
      <c r="AR28" s="279"/>
      <c r="AS28" s="279"/>
      <c r="AT28" s="280"/>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75" thickBot="1" x14ac:dyDescent="0.3">
      <c r="A29" s="83"/>
      <c r="B29" s="255"/>
      <c r="C29" s="255"/>
      <c r="D29" s="256"/>
      <c r="E29" s="299"/>
      <c r="F29" s="300"/>
      <c r="G29" s="300"/>
      <c r="H29" s="300"/>
      <c r="I29" s="301"/>
      <c r="J29" s="322"/>
      <c r="K29" s="323"/>
      <c r="L29" s="323"/>
      <c r="M29" s="323"/>
      <c r="N29" s="323"/>
      <c r="O29" s="324"/>
      <c r="P29" s="325"/>
      <c r="Q29" s="326"/>
      <c r="R29" s="326"/>
      <c r="S29" s="326"/>
      <c r="T29" s="326"/>
      <c r="U29" s="327"/>
      <c r="V29" s="325"/>
      <c r="W29" s="326"/>
      <c r="X29" s="326"/>
      <c r="Y29" s="326"/>
      <c r="Z29" s="326"/>
      <c r="AA29" s="327"/>
      <c r="AB29" s="310"/>
      <c r="AC29" s="311"/>
      <c r="AD29" s="311"/>
      <c r="AE29" s="311"/>
      <c r="AF29" s="311"/>
      <c r="AG29" s="312"/>
      <c r="AH29" s="316"/>
      <c r="AI29" s="317"/>
      <c r="AJ29" s="317"/>
      <c r="AK29" s="317"/>
      <c r="AL29" s="317"/>
      <c r="AM29" s="318"/>
      <c r="AN29" s="83"/>
      <c r="AO29" s="281"/>
      <c r="AP29" s="282"/>
      <c r="AQ29" s="282"/>
      <c r="AR29" s="282"/>
      <c r="AS29" s="282"/>
      <c r="AT29" s="2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25">
      <c r="A30" s="83"/>
      <c r="B30" s="255"/>
      <c r="C30" s="255"/>
      <c r="D30" s="256"/>
      <c r="E30" s="293" t="s">
        <v>114</v>
      </c>
      <c r="F30" s="294"/>
      <c r="G30" s="294"/>
      <c r="H30" s="294"/>
      <c r="I30" s="294"/>
      <c r="J30" s="337" t="str">
        <f ca="1">IF(AND(academico!$H$10="Baja",academico!$L$10="Leve"),CONCATENATE("R",academico!$A$10),"")</f>
        <v/>
      </c>
      <c r="K30" s="338"/>
      <c r="L30" s="338" t="str">
        <f ca="1">IF(AND(academico!$H$16="Baja",academico!$L$16="Leve"),CONCATENATE("R",academico!$A$16),"")</f>
        <v/>
      </c>
      <c r="M30" s="338"/>
      <c r="N30" s="338" t="str">
        <f ca="1">IF(AND(academico!$H$22="Baja",academico!$L$22="Leve"),CONCATENATE("R",academico!$A$22),"")</f>
        <v/>
      </c>
      <c r="O30" s="339"/>
      <c r="P30" s="329" t="str">
        <f ca="1">IF(AND(academico!$H$10="Baja",academico!$L$10="Menor"),CONCATENATE("R",academico!$A$10),"")</f>
        <v/>
      </c>
      <c r="Q30" s="329"/>
      <c r="R30" s="329" t="str">
        <f ca="1">IF(AND(academico!$H$16="Baja",academico!$L$16="Menor"),CONCATENATE("R",academico!$A$16),"")</f>
        <v/>
      </c>
      <c r="S30" s="329"/>
      <c r="T30" s="329" t="str">
        <f ca="1">IF(AND(academico!$H$22="Baja",academico!$L$22="Menor"),CONCATENATE("R",academico!$A$22),"")</f>
        <v/>
      </c>
      <c r="U30" s="330"/>
      <c r="V30" s="328" t="str">
        <f ca="1">IF(AND(academico!$H$10="Baja",academico!$L$10="Moderado"),CONCATENATE("R",academico!$A$10),"")</f>
        <v/>
      </c>
      <c r="W30" s="329"/>
      <c r="X30" s="329" t="str">
        <f ca="1">IF(AND(academico!$H$16="Baja",academico!$L$16="Moderado"),CONCATENATE("R",academico!$A$16),"")</f>
        <v/>
      </c>
      <c r="Y30" s="329"/>
      <c r="Z30" s="329" t="str">
        <f ca="1">IF(AND(academico!$H$22="Baja",academico!$L$22="Moderado"),CONCATENATE("R",academico!$A$22),"")</f>
        <v/>
      </c>
      <c r="AA30" s="330"/>
      <c r="AB30" s="304" t="str">
        <f ca="1">IF(AND(academico!$H$10="Baja",academico!$L$10="Mayor"),CONCATENATE("R",academico!$A$10),"")</f>
        <v/>
      </c>
      <c r="AC30" s="305"/>
      <c r="AD30" s="305" t="str">
        <f ca="1">IF(AND(academico!$H$16="Baja",academico!$L$16="Mayor"),CONCATENATE("R",academico!$A$16),"")</f>
        <v/>
      </c>
      <c r="AE30" s="305"/>
      <c r="AF30" s="305" t="str">
        <f ca="1">IF(AND(academico!$H$22="Baja",academico!$L$22="Mayor"),CONCATENATE("R",academico!$A$22),"")</f>
        <v/>
      </c>
      <c r="AG30" s="307"/>
      <c r="AH30" s="319" t="str">
        <f ca="1">IF(AND(academico!$H$10="Baja",academico!$L$10="Catastrófico"),CONCATENATE("R",academico!$A$10),"")</f>
        <v/>
      </c>
      <c r="AI30" s="320"/>
      <c r="AJ30" s="320" t="str">
        <f ca="1">IF(AND(academico!$H$16="Baja",academico!$L$16="Catastrófico"),CONCATENATE("R",academico!$A$16),"")</f>
        <v/>
      </c>
      <c r="AK30" s="320"/>
      <c r="AL30" s="320" t="str">
        <f ca="1">IF(AND(academico!$H$22="Baja",academico!$L$22="Catastrófico"),CONCATENATE("R",academico!$A$22),"")</f>
        <v/>
      </c>
      <c r="AM30" s="321"/>
      <c r="AN30" s="83"/>
      <c r="AO30" s="284" t="s">
        <v>82</v>
      </c>
      <c r="AP30" s="285"/>
      <c r="AQ30" s="285"/>
      <c r="AR30" s="285"/>
      <c r="AS30" s="285"/>
      <c r="AT30" s="286"/>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25">
      <c r="A31" s="83"/>
      <c r="B31" s="255"/>
      <c r="C31" s="255"/>
      <c r="D31" s="256"/>
      <c r="E31" s="296"/>
      <c r="F31" s="297"/>
      <c r="G31" s="297"/>
      <c r="H31" s="297"/>
      <c r="I31" s="297"/>
      <c r="J31" s="333"/>
      <c r="K31" s="331"/>
      <c r="L31" s="331"/>
      <c r="M31" s="331"/>
      <c r="N31" s="331"/>
      <c r="O31" s="332"/>
      <c r="P31" s="323"/>
      <c r="Q31" s="323"/>
      <c r="R31" s="323"/>
      <c r="S31" s="323"/>
      <c r="T31" s="323"/>
      <c r="U31" s="324"/>
      <c r="V31" s="322"/>
      <c r="W31" s="323"/>
      <c r="X31" s="323"/>
      <c r="Y31" s="323"/>
      <c r="Z31" s="323"/>
      <c r="AA31" s="324"/>
      <c r="AB31" s="306"/>
      <c r="AC31" s="302"/>
      <c r="AD31" s="302"/>
      <c r="AE31" s="302"/>
      <c r="AF31" s="302"/>
      <c r="AG31" s="303"/>
      <c r="AH31" s="313"/>
      <c r="AI31" s="314"/>
      <c r="AJ31" s="314"/>
      <c r="AK31" s="314"/>
      <c r="AL31" s="314"/>
      <c r="AM31" s="315"/>
      <c r="AN31" s="83"/>
      <c r="AO31" s="287"/>
      <c r="AP31" s="288"/>
      <c r="AQ31" s="288"/>
      <c r="AR31" s="288"/>
      <c r="AS31" s="288"/>
      <c r="AT31" s="289"/>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25">
      <c r="A32" s="83"/>
      <c r="B32" s="255"/>
      <c r="C32" s="255"/>
      <c r="D32" s="256"/>
      <c r="E32" s="296"/>
      <c r="F32" s="297"/>
      <c r="G32" s="297"/>
      <c r="H32" s="297"/>
      <c r="I32" s="297"/>
      <c r="J32" s="333" t="str">
        <f ca="1">IF(AND(academico!$H$28="Baja",academico!$L$28="Leve"),CONCATENATE("R",academico!$A$28),"")</f>
        <v/>
      </c>
      <c r="K32" s="331"/>
      <c r="L32" s="331" t="str">
        <f ca="1">IF(AND(academico!$H$34="Baja",academico!$L$34="Leve"),CONCATENATE("R",academico!$A$34),"")</f>
        <v/>
      </c>
      <c r="M32" s="331"/>
      <c r="N32" s="331" t="str">
        <f ca="1">IF(AND(academico!$H$40="Baja",academico!$L$40="Leve"),CONCATENATE("R",academico!$A$40),"")</f>
        <v/>
      </c>
      <c r="O32" s="332"/>
      <c r="P32" s="323" t="str">
        <f ca="1">IF(AND(academico!$H$28="Baja",academico!$L$28="Menor"),CONCATENATE("R",academico!$A$28),"")</f>
        <v/>
      </c>
      <c r="Q32" s="323"/>
      <c r="R32" s="323" t="str">
        <f ca="1">IF(AND(academico!$H$34="Baja",academico!$L$34="Menor"),CONCATENATE("R",academico!$A$34),"")</f>
        <v/>
      </c>
      <c r="S32" s="323"/>
      <c r="T32" s="323" t="str">
        <f ca="1">IF(AND(academico!$H$40="Baja",academico!$L$40="Menor"),CONCATENATE("R",academico!$A$40),"")</f>
        <v/>
      </c>
      <c r="U32" s="324"/>
      <c r="V32" s="322" t="str">
        <f ca="1">IF(AND(academico!$H$28="Baja",academico!$L$28="Moderado"),CONCATENATE("R",academico!$A$28),"")</f>
        <v/>
      </c>
      <c r="W32" s="323"/>
      <c r="X32" s="323" t="str">
        <f ca="1">IF(AND(academico!$H$34="Baja",academico!$L$34="Moderado"),CONCATENATE("R",academico!$A$34),"")</f>
        <v/>
      </c>
      <c r="Y32" s="323"/>
      <c r="Z32" s="323" t="str">
        <f ca="1">IF(AND(academico!$H$40="Baja",academico!$L$40="Moderado"),CONCATENATE("R",academico!$A$40),"")</f>
        <v/>
      </c>
      <c r="AA32" s="324"/>
      <c r="AB32" s="306" t="str">
        <f ca="1">IF(AND(academico!$H$28="Baja",academico!$L$28="Mayor"),CONCATENATE("R",academico!$A$28),"")</f>
        <v/>
      </c>
      <c r="AC32" s="302"/>
      <c r="AD32" s="302" t="str">
        <f ca="1">IF(AND(academico!$H$34="Baja",academico!$L$34="Mayor"),CONCATENATE("R",academico!$A$34),"")</f>
        <v/>
      </c>
      <c r="AE32" s="302"/>
      <c r="AF32" s="302" t="str">
        <f ca="1">IF(AND(academico!$H$40="Baja",academico!$L$40="Mayor"),CONCATENATE("R",academico!$A$40),"")</f>
        <v/>
      </c>
      <c r="AG32" s="303"/>
      <c r="AH32" s="313" t="str">
        <f ca="1">IF(AND(academico!$H$28="Baja",academico!$L$28="Catastrófico"),CONCATENATE("R",academico!$A$28),"")</f>
        <v/>
      </c>
      <c r="AI32" s="314"/>
      <c r="AJ32" s="314" t="str">
        <f ca="1">IF(AND(academico!$H$34="Baja",academico!$L$34="Catastrófico"),CONCATENATE("R",academico!$A$34),"")</f>
        <v/>
      </c>
      <c r="AK32" s="314"/>
      <c r="AL32" s="314" t="str">
        <f ca="1">IF(AND(academico!$H$40="Baja",academico!$L$40="Catastrófico"),CONCATENATE("R",academico!$A$40),"")</f>
        <v/>
      </c>
      <c r="AM32" s="315"/>
      <c r="AN32" s="83"/>
      <c r="AO32" s="287"/>
      <c r="AP32" s="288"/>
      <c r="AQ32" s="288"/>
      <c r="AR32" s="288"/>
      <c r="AS32" s="288"/>
      <c r="AT32" s="289"/>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25">
      <c r="A33" s="83"/>
      <c r="B33" s="255"/>
      <c r="C33" s="255"/>
      <c r="D33" s="256"/>
      <c r="E33" s="296"/>
      <c r="F33" s="297"/>
      <c r="G33" s="297"/>
      <c r="H33" s="297"/>
      <c r="I33" s="297"/>
      <c r="J33" s="333"/>
      <c r="K33" s="331"/>
      <c r="L33" s="331"/>
      <c r="M33" s="331"/>
      <c r="N33" s="331"/>
      <c r="O33" s="332"/>
      <c r="P33" s="323"/>
      <c r="Q33" s="323"/>
      <c r="R33" s="323"/>
      <c r="S33" s="323"/>
      <c r="T33" s="323"/>
      <c r="U33" s="324"/>
      <c r="V33" s="322"/>
      <c r="W33" s="323"/>
      <c r="X33" s="323"/>
      <c r="Y33" s="323"/>
      <c r="Z33" s="323"/>
      <c r="AA33" s="324"/>
      <c r="AB33" s="306"/>
      <c r="AC33" s="302"/>
      <c r="AD33" s="302"/>
      <c r="AE33" s="302"/>
      <c r="AF33" s="302"/>
      <c r="AG33" s="303"/>
      <c r="AH33" s="313"/>
      <c r="AI33" s="314"/>
      <c r="AJ33" s="314"/>
      <c r="AK33" s="314"/>
      <c r="AL33" s="314"/>
      <c r="AM33" s="315"/>
      <c r="AN33" s="83"/>
      <c r="AO33" s="287"/>
      <c r="AP33" s="288"/>
      <c r="AQ33" s="288"/>
      <c r="AR33" s="288"/>
      <c r="AS33" s="288"/>
      <c r="AT33" s="289"/>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25">
      <c r="A34" s="83"/>
      <c r="B34" s="255"/>
      <c r="C34" s="255"/>
      <c r="D34" s="256"/>
      <c r="E34" s="296"/>
      <c r="F34" s="297"/>
      <c r="G34" s="297"/>
      <c r="H34" s="297"/>
      <c r="I34" s="297"/>
      <c r="J34" s="333" t="str">
        <f ca="1">IF(AND(academico!$H$46="Baja",academico!$L$46="Leve"),CONCATENATE("R",academico!$A$46),"")</f>
        <v/>
      </c>
      <c r="K34" s="331"/>
      <c r="L34" s="331" t="str">
        <f ca="1">IF(AND(academico!$H$52="Baja",academico!$L$52="Leve"),CONCATENATE("R",academico!$A$52),"")</f>
        <v/>
      </c>
      <c r="M34" s="331"/>
      <c r="N34" s="331" t="str">
        <f ca="1">IF(AND(academico!$H$58="Baja",academico!$L$58="Leve"),CONCATENATE("R",academico!$A$58),"")</f>
        <v/>
      </c>
      <c r="O34" s="332"/>
      <c r="P34" s="323" t="str">
        <f ca="1">IF(AND(academico!$H$46="Baja",academico!$L$46="Menor"),CONCATENATE("R",academico!$A$46),"")</f>
        <v/>
      </c>
      <c r="Q34" s="323"/>
      <c r="R34" s="323" t="str">
        <f ca="1">IF(AND(academico!$H$52="Baja",academico!$L$52="Menor"),CONCATENATE("R",academico!$A$52),"")</f>
        <v/>
      </c>
      <c r="S34" s="323"/>
      <c r="T34" s="323" t="str">
        <f ca="1">IF(AND(academico!$H$58="Baja",academico!$L$58="Menor"),CONCATENATE("R",academico!$A$58),"")</f>
        <v/>
      </c>
      <c r="U34" s="324"/>
      <c r="V34" s="322" t="str">
        <f ca="1">IF(AND(academico!$H$46="Baja",academico!$L$46="Moderado"),CONCATENATE("R",academico!$A$46),"")</f>
        <v/>
      </c>
      <c r="W34" s="323"/>
      <c r="X34" s="323" t="str">
        <f ca="1">IF(AND(academico!$H$52="Baja",academico!$L$52="Moderado"),CONCATENATE("R",academico!$A$52),"")</f>
        <v/>
      </c>
      <c r="Y34" s="323"/>
      <c r="Z34" s="323" t="str">
        <f ca="1">IF(AND(academico!$H$58="Baja",academico!$L$58="Moderado"),CONCATENATE("R",academico!$A$58),"")</f>
        <v/>
      </c>
      <c r="AA34" s="324"/>
      <c r="AB34" s="306" t="str">
        <f ca="1">IF(AND(academico!$H$46="Baja",academico!$L$46="Mayor"),CONCATENATE("R",academico!$A$46),"")</f>
        <v/>
      </c>
      <c r="AC34" s="302"/>
      <c r="AD34" s="302" t="str">
        <f ca="1">IF(AND(academico!$H$52="Baja",academico!$L$52="Mayor"),CONCATENATE("R",academico!$A$52),"")</f>
        <v/>
      </c>
      <c r="AE34" s="302"/>
      <c r="AF34" s="302" t="str">
        <f ca="1">IF(AND(academico!$H$58="Baja",academico!$L$58="Mayor"),CONCATENATE("R",academico!$A$58),"")</f>
        <v/>
      </c>
      <c r="AG34" s="303"/>
      <c r="AH34" s="313" t="str">
        <f ca="1">IF(AND(academico!$H$46="Baja",academico!$L$46="Catastrófico"),CONCATENATE("R",academico!$A$46),"")</f>
        <v/>
      </c>
      <c r="AI34" s="314"/>
      <c r="AJ34" s="314" t="str">
        <f ca="1">IF(AND(academico!$H$52="Baja",academico!$L$52="Catastrófico"),CONCATENATE("R",academico!$A$52),"")</f>
        <v/>
      </c>
      <c r="AK34" s="314"/>
      <c r="AL34" s="314" t="str">
        <f ca="1">IF(AND(academico!$H$58="Baja",academico!$L$58="Catastrófico"),CONCATENATE("R",academico!$A$58),"")</f>
        <v/>
      </c>
      <c r="AM34" s="315"/>
      <c r="AN34" s="83"/>
      <c r="AO34" s="287"/>
      <c r="AP34" s="288"/>
      <c r="AQ34" s="288"/>
      <c r="AR34" s="288"/>
      <c r="AS34" s="288"/>
      <c r="AT34" s="289"/>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25">
      <c r="A35" s="83"/>
      <c r="B35" s="255"/>
      <c r="C35" s="255"/>
      <c r="D35" s="256"/>
      <c r="E35" s="296"/>
      <c r="F35" s="297"/>
      <c r="G35" s="297"/>
      <c r="H35" s="297"/>
      <c r="I35" s="297"/>
      <c r="J35" s="333"/>
      <c r="K35" s="331"/>
      <c r="L35" s="331"/>
      <c r="M35" s="331"/>
      <c r="N35" s="331"/>
      <c r="O35" s="332"/>
      <c r="P35" s="323"/>
      <c r="Q35" s="323"/>
      <c r="R35" s="323"/>
      <c r="S35" s="323"/>
      <c r="T35" s="323"/>
      <c r="U35" s="324"/>
      <c r="V35" s="322"/>
      <c r="W35" s="323"/>
      <c r="X35" s="323"/>
      <c r="Y35" s="323"/>
      <c r="Z35" s="323"/>
      <c r="AA35" s="324"/>
      <c r="AB35" s="306"/>
      <c r="AC35" s="302"/>
      <c r="AD35" s="302"/>
      <c r="AE35" s="302"/>
      <c r="AF35" s="302"/>
      <c r="AG35" s="303"/>
      <c r="AH35" s="313"/>
      <c r="AI35" s="314"/>
      <c r="AJ35" s="314"/>
      <c r="AK35" s="314"/>
      <c r="AL35" s="314"/>
      <c r="AM35" s="315"/>
      <c r="AN35" s="83"/>
      <c r="AO35" s="287"/>
      <c r="AP35" s="288"/>
      <c r="AQ35" s="288"/>
      <c r="AR35" s="288"/>
      <c r="AS35" s="288"/>
      <c r="AT35" s="289"/>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25">
      <c r="A36" s="83"/>
      <c r="B36" s="255"/>
      <c r="C36" s="255"/>
      <c r="D36" s="256"/>
      <c r="E36" s="296"/>
      <c r="F36" s="297"/>
      <c r="G36" s="297"/>
      <c r="H36" s="297"/>
      <c r="I36" s="297"/>
      <c r="J36" s="333" t="str">
        <f ca="1">IF(AND(academico!$H$64="Baja",academico!$L$64="Leve"),CONCATENATE("R",academico!$A$64),"")</f>
        <v/>
      </c>
      <c r="K36" s="331"/>
      <c r="L36" s="331" t="str">
        <f>IF(AND(academico!$H$70="Baja",academico!$L$70="Leve"),CONCATENATE("R",academico!$A$70),"")</f>
        <v/>
      </c>
      <c r="M36" s="331"/>
      <c r="N36" s="331" t="str">
        <f>IF(AND(academico!$H$76="Baja",academico!$L$76="Leve"),CONCATENATE("R",academico!$A$76),"")</f>
        <v/>
      </c>
      <c r="O36" s="332"/>
      <c r="P36" s="323" t="str">
        <f ca="1">IF(AND(academico!$H$64="Baja",academico!$L$64="Menor"),CONCATENATE("R",academico!$A$64),"")</f>
        <v/>
      </c>
      <c r="Q36" s="323"/>
      <c r="R36" s="323" t="str">
        <f>IF(AND(academico!$H$70="Baja",academico!$L$70="Menor"),CONCATENATE("R",academico!$A$70),"")</f>
        <v/>
      </c>
      <c r="S36" s="323"/>
      <c r="T36" s="323" t="str">
        <f>IF(AND(academico!$H$76="Baja",academico!$L$76="Menor"),CONCATENATE("R",academico!$A$76),"")</f>
        <v/>
      </c>
      <c r="U36" s="324"/>
      <c r="V36" s="322" t="str">
        <f ca="1">IF(AND(academico!$H$64="Baja",academico!$L$64="Moderado"),CONCATENATE("R",academico!$A$64),"")</f>
        <v/>
      </c>
      <c r="W36" s="323"/>
      <c r="X36" s="323" t="str">
        <f>IF(AND(academico!$H$70="Baja",academico!$L$70="Moderado"),CONCATENATE("R",academico!$A$70),"")</f>
        <v/>
      </c>
      <c r="Y36" s="323"/>
      <c r="Z36" s="323" t="str">
        <f>IF(AND(academico!$H$76="Baja",academico!$L$76="Moderado"),CONCATENATE("R",academico!$A$76),"")</f>
        <v/>
      </c>
      <c r="AA36" s="324"/>
      <c r="AB36" s="306" t="str">
        <f ca="1">IF(AND(academico!$H$64="Baja",academico!$L$64="Mayor"),CONCATENATE("R",academico!$A$64),"")</f>
        <v/>
      </c>
      <c r="AC36" s="302"/>
      <c r="AD36" s="302" t="str">
        <f>IF(AND(academico!$H$70="Baja",academico!$L$70="Mayor"),CONCATENATE("R",academico!$A$70),"")</f>
        <v/>
      </c>
      <c r="AE36" s="302"/>
      <c r="AF36" s="302" t="str">
        <f>IF(AND(academico!$H$76="Baja",academico!$L$76="Mayor"),CONCATENATE("R",academico!$A$76),"")</f>
        <v/>
      </c>
      <c r="AG36" s="303"/>
      <c r="AH36" s="313" t="str">
        <f ca="1">IF(AND(academico!$H$64="Baja",academico!$L$64="Catastrófico"),CONCATENATE("R",academico!$A$64),"")</f>
        <v/>
      </c>
      <c r="AI36" s="314"/>
      <c r="AJ36" s="314" t="str">
        <f>IF(AND(academico!$H$70="Baja",academico!$L$70="Catastrófico"),CONCATENATE("R",academico!$A$70),"")</f>
        <v/>
      </c>
      <c r="AK36" s="314"/>
      <c r="AL36" s="314" t="str">
        <f>IF(AND(academico!$H$76="Baja",academico!$L$76="Catastrófico"),CONCATENATE("R",academico!$A$76),"")</f>
        <v/>
      </c>
      <c r="AM36" s="315"/>
      <c r="AN36" s="83"/>
      <c r="AO36" s="287"/>
      <c r="AP36" s="288"/>
      <c r="AQ36" s="288"/>
      <c r="AR36" s="288"/>
      <c r="AS36" s="288"/>
      <c r="AT36" s="289"/>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75" thickBot="1" x14ac:dyDescent="0.3">
      <c r="A37" s="83"/>
      <c r="B37" s="255"/>
      <c r="C37" s="255"/>
      <c r="D37" s="256"/>
      <c r="E37" s="299"/>
      <c r="F37" s="300"/>
      <c r="G37" s="300"/>
      <c r="H37" s="300"/>
      <c r="I37" s="300"/>
      <c r="J37" s="334"/>
      <c r="K37" s="335"/>
      <c r="L37" s="335"/>
      <c r="M37" s="335"/>
      <c r="N37" s="335"/>
      <c r="O37" s="336"/>
      <c r="P37" s="326"/>
      <c r="Q37" s="326"/>
      <c r="R37" s="326"/>
      <c r="S37" s="326"/>
      <c r="T37" s="326"/>
      <c r="U37" s="327"/>
      <c r="V37" s="325"/>
      <c r="W37" s="326"/>
      <c r="X37" s="326"/>
      <c r="Y37" s="326"/>
      <c r="Z37" s="326"/>
      <c r="AA37" s="327"/>
      <c r="AB37" s="310"/>
      <c r="AC37" s="311"/>
      <c r="AD37" s="311"/>
      <c r="AE37" s="311"/>
      <c r="AF37" s="311"/>
      <c r="AG37" s="312"/>
      <c r="AH37" s="316"/>
      <c r="AI37" s="317"/>
      <c r="AJ37" s="317"/>
      <c r="AK37" s="317"/>
      <c r="AL37" s="317"/>
      <c r="AM37" s="318"/>
      <c r="AN37" s="83"/>
      <c r="AO37" s="290"/>
      <c r="AP37" s="291"/>
      <c r="AQ37" s="291"/>
      <c r="AR37" s="291"/>
      <c r="AS37" s="291"/>
      <c r="AT37" s="292"/>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25">
      <c r="A38" s="83"/>
      <c r="B38" s="255"/>
      <c r="C38" s="255"/>
      <c r="D38" s="256"/>
      <c r="E38" s="293" t="s">
        <v>113</v>
      </c>
      <c r="F38" s="294"/>
      <c r="G38" s="294"/>
      <c r="H38" s="294"/>
      <c r="I38" s="295"/>
      <c r="J38" s="337" t="str">
        <f ca="1">IF(AND(academico!$H$10="Muy Baja",academico!$L$10="Leve"),CONCATENATE("R",academico!$A$10),"")</f>
        <v/>
      </c>
      <c r="K38" s="338"/>
      <c r="L38" s="338" t="str">
        <f ca="1">IF(AND(academico!$H$16="Muy Baja",academico!$L$16="Leve"),CONCATENATE("R",academico!$A$16),"")</f>
        <v/>
      </c>
      <c r="M38" s="338"/>
      <c r="N38" s="338" t="str">
        <f ca="1">IF(AND(academico!$H$22="Muy Baja",academico!$L$22="Leve"),CONCATENATE("R",academico!$A$22),"")</f>
        <v/>
      </c>
      <c r="O38" s="339"/>
      <c r="P38" s="337" t="str">
        <f ca="1">IF(AND(academico!$H$10="Muy Baja",academico!$L$10="Menor"),CONCATENATE("R",academico!$A$10),"")</f>
        <v/>
      </c>
      <c r="Q38" s="338"/>
      <c r="R38" s="338" t="str">
        <f ca="1">IF(AND(academico!$H$16="Muy Baja",academico!$L$16="Menor"),CONCATENATE("R",academico!$A$16),"")</f>
        <v/>
      </c>
      <c r="S38" s="338"/>
      <c r="T38" s="338" t="str">
        <f ca="1">IF(AND(academico!$H$22="Muy Baja",academico!$L$22="Menor"),CONCATENATE("R",academico!$A$22),"")</f>
        <v/>
      </c>
      <c r="U38" s="339"/>
      <c r="V38" s="328" t="str">
        <f ca="1">IF(AND(academico!$H$10="Muy Baja",academico!$L$10="Moderado"),CONCATENATE("R",academico!$A$10),"")</f>
        <v/>
      </c>
      <c r="W38" s="329"/>
      <c r="X38" s="329" t="str">
        <f ca="1">IF(AND(academico!$H$16="Muy Baja",academico!$L$16="Moderado"),CONCATENATE("R",academico!$A$16),"")</f>
        <v/>
      </c>
      <c r="Y38" s="329"/>
      <c r="Z38" s="329" t="str">
        <f ca="1">IF(AND(academico!$H$22="Muy Baja",academico!$L$22="Moderado"),CONCATENATE("R",academico!$A$22),"")</f>
        <v/>
      </c>
      <c r="AA38" s="330"/>
      <c r="AB38" s="304" t="str">
        <f ca="1">IF(AND(academico!$H$10="Muy Baja",academico!$L$10="Mayor"),CONCATENATE("R",academico!$A$10),"")</f>
        <v/>
      </c>
      <c r="AC38" s="305"/>
      <c r="AD38" s="305" t="str">
        <f ca="1">IF(AND(academico!$H$16="Muy Baja",academico!$L$16="Mayor"),CONCATENATE("R",academico!$A$16),"")</f>
        <v/>
      </c>
      <c r="AE38" s="305"/>
      <c r="AF38" s="305" t="str">
        <f ca="1">IF(AND(academico!$H$22="Muy Baja",academico!$L$22="Mayor"),CONCATENATE("R",academico!$A$22),"")</f>
        <v/>
      </c>
      <c r="AG38" s="307"/>
      <c r="AH38" s="319" t="str">
        <f ca="1">IF(AND(academico!$H$10="Muy Baja",academico!$L$10="Catastrófico"),CONCATENATE("R",academico!$A$10),"")</f>
        <v/>
      </c>
      <c r="AI38" s="320"/>
      <c r="AJ38" s="320" t="str">
        <f ca="1">IF(AND(academico!$H$16="Muy Baja",academico!$L$16="Catastrófico"),CONCATENATE("R",academico!$A$16),"")</f>
        <v/>
      </c>
      <c r="AK38" s="320"/>
      <c r="AL38" s="320" t="str">
        <f ca="1">IF(AND(academico!$H$22="Muy Baja",academico!$L$22="Catastrófico"),CONCATENATE("R",academico!$A$22),"")</f>
        <v/>
      </c>
      <c r="AM38" s="321"/>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25">
      <c r="A39" s="83"/>
      <c r="B39" s="255"/>
      <c r="C39" s="255"/>
      <c r="D39" s="256"/>
      <c r="E39" s="296"/>
      <c r="F39" s="297"/>
      <c r="G39" s="297"/>
      <c r="H39" s="297"/>
      <c r="I39" s="298"/>
      <c r="J39" s="333"/>
      <c r="K39" s="331"/>
      <c r="L39" s="331"/>
      <c r="M39" s="331"/>
      <c r="N39" s="331"/>
      <c r="O39" s="332"/>
      <c r="P39" s="333"/>
      <c r="Q39" s="331"/>
      <c r="R39" s="331"/>
      <c r="S39" s="331"/>
      <c r="T39" s="331"/>
      <c r="U39" s="332"/>
      <c r="V39" s="322"/>
      <c r="W39" s="323"/>
      <c r="X39" s="323"/>
      <c r="Y39" s="323"/>
      <c r="Z39" s="323"/>
      <c r="AA39" s="324"/>
      <c r="AB39" s="306"/>
      <c r="AC39" s="302"/>
      <c r="AD39" s="302"/>
      <c r="AE39" s="302"/>
      <c r="AF39" s="302"/>
      <c r="AG39" s="303"/>
      <c r="AH39" s="313"/>
      <c r="AI39" s="314"/>
      <c r="AJ39" s="314"/>
      <c r="AK39" s="314"/>
      <c r="AL39" s="314"/>
      <c r="AM39" s="315"/>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25">
      <c r="A40" s="83"/>
      <c r="B40" s="255"/>
      <c r="C40" s="255"/>
      <c r="D40" s="256"/>
      <c r="E40" s="296"/>
      <c r="F40" s="297"/>
      <c r="G40" s="297"/>
      <c r="H40" s="297"/>
      <c r="I40" s="298"/>
      <c r="J40" s="333" t="str">
        <f ca="1">IF(AND(academico!$H$28="Muy Baja",academico!$L$28="Leve"),CONCATENATE("R",academico!$A$28),"")</f>
        <v/>
      </c>
      <c r="K40" s="331"/>
      <c r="L40" s="331" t="str">
        <f ca="1">IF(AND(academico!$H$34="Muy Baja",academico!$L$34="Leve"),CONCATENATE("R",academico!$A$34),"")</f>
        <v/>
      </c>
      <c r="M40" s="331"/>
      <c r="N40" s="331" t="str">
        <f ca="1">IF(AND(academico!$H$40="Muy Baja",academico!$L$40="Leve"),CONCATENATE("R",academico!$A$40),"")</f>
        <v/>
      </c>
      <c r="O40" s="332"/>
      <c r="P40" s="333" t="str">
        <f ca="1">IF(AND(academico!$H$28="Muy Baja",academico!$L$28="Menor"),CONCATENATE("R",academico!$A$28),"")</f>
        <v/>
      </c>
      <c r="Q40" s="331"/>
      <c r="R40" s="331" t="str">
        <f ca="1">IF(AND(academico!$H$34="Muy Baja",academico!$L$34="Menor"),CONCATENATE("R",academico!$A$34),"")</f>
        <v/>
      </c>
      <c r="S40" s="331"/>
      <c r="T40" s="331" t="str">
        <f ca="1">IF(AND(academico!$H$40="Muy Baja",academico!$L$40="Menor"),CONCATENATE("R",academico!$A$40),"")</f>
        <v/>
      </c>
      <c r="U40" s="332"/>
      <c r="V40" s="322" t="str">
        <f ca="1">IF(AND(academico!$H$28="Muy Baja",academico!$L$28="Moderado"),CONCATENATE("R",academico!$A$28),"")</f>
        <v/>
      </c>
      <c r="W40" s="323"/>
      <c r="X40" s="323" t="str">
        <f ca="1">IF(AND(academico!$H$34="Muy Baja",academico!$L$34="Moderado"),CONCATENATE("R",academico!$A$34),"")</f>
        <v/>
      </c>
      <c r="Y40" s="323"/>
      <c r="Z40" s="323" t="str">
        <f ca="1">IF(AND(academico!$H$40="Muy Baja",academico!$L$40="Moderado"),CONCATENATE("R",academico!$A$40),"")</f>
        <v/>
      </c>
      <c r="AA40" s="324"/>
      <c r="AB40" s="306" t="str">
        <f ca="1">IF(AND(academico!$H$28="Muy Baja",academico!$L$28="Mayor"),CONCATENATE("R",academico!$A$28),"")</f>
        <v/>
      </c>
      <c r="AC40" s="302"/>
      <c r="AD40" s="302" t="str">
        <f ca="1">IF(AND(academico!$H$34="Muy Baja",academico!$L$34="Mayor"),CONCATENATE("R",academico!$A$34),"")</f>
        <v/>
      </c>
      <c r="AE40" s="302"/>
      <c r="AF40" s="302" t="str">
        <f ca="1">IF(AND(academico!$H$40="Muy Baja",academico!$L$40="Mayor"),CONCATENATE("R",academico!$A$40),"")</f>
        <v/>
      </c>
      <c r="AG40" s="303"/>
      <c r="AH40" s="313" t="str">
        <f ca="1">IF(AND(academico!$H$28="Muy Baja",academico!$L$28="Catastrófico"),CONCATENATE("R",academico!$A$28),"")</f>
        <v/>
      </c>
      <c r="AI40" s="314"/>
      <c r="AJ40" s="314" t="str">
        <f ca="1">IF(AND(academico!$H$34="Muy Baja",academico!$L$34="Catastrófico"),CONCATENATE("R",academico!$A$34),"")</f>
        <v/>
      </c>
      <c r="AK40" s="314"/>
      <c r="AL40" s="314" t="str">
        <f ca="1">IF(AND(academico!$H$40="Muy Baja",academico!$L$40="Catastrófico"),CONCATENATE("R",academico!$A$40),"")</f>
        <v/>
      </c>
      <c r="AM40" s="315"/>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25">
      <c r="A41" s="83"/>
      <c r="B41" s="255"/>
      <c r="C41" s="255"/>
      <c r="D41" s="256"/>
      <c r="E41" s="296"/>
      <c r="F41" s="297"/>
      <c r="G41" s="297"/>
      <c r="H41" s="297"/>
      <c r="I41" s="298"/>
      <c r="J41" s="333"/>
      <c r="K41" s="331"/>
      <c r="L41" s="331"/>
      <c r="M41" s="331"/>
      <c r="N41" s="331"/>
      <c r="O41" s="332"/>
      <c r="P41" s="333"/>
      <c r="Q41" s="331"/>
      <c r="R41" s="331"/>
      <c r="S41" s="331"/>
      <c r="T41" s="331"/>
      <c r="U41" s="332"/>
      <c r="V41" s="322"/>
      <c r="W41" s="323"/>
      <c r="X41" s="323"/>
      <c r="Y41" s="323"/>
      <c r="Z41" s="323"/>
      <c r="AA41" s="324"/>
      <c r="AB41" s="306"/>
      <c r="AC41" s="302"/>
      <c r="AD41" s="302"/>
      <c r="AE41" s="302"/>
      <c r="AF41" s="302"/>
      <c r="AG41" s="303"/>
      <c r="AH41" s="313"/>
      <c r="AI41" s="314"/>
      <c r="AJ41" s="314"/>
      <c r="AK41" s="314"/>
      <c r="AL41" s="314"/>
      <c r="AM41" s="315"/>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25">
      <c r="A42" s="83"/>
      <c r="B42" s="255"/>
      <c r="C42" s="255"/>
      <c r="D42" s="256"/>
      <c r="E42" s="296"/>
      <c r="F42" s="297"/>
      <c r="G42" s="297"/>
      <c r="H42" s="297"/>
      <c r="I42" s="298"/>
      <c r="J42" s="333" t="str">
        <f ca="1">IF(AND(academico!$H$46="Muy Baja",academico!$L$46="Leve"),CONCATENATE("R",academico!$A$46),"")</f>
        <v/>
      </c>
      <c r="K42" s="331"/>
      <c r="L42" s="331" t="str">
        <f ca="1">IF(AND(academico!$H$52="Muy Baja",academico!$L$52="Leve"),CONCATENATE("R",academico!$A$52),"")</f>
        <v/>
      </c>
      <c r="M42" s="331"/>
      <c r="N42" s="331" t="str">
        <f ca="1">IF(AND(academico!$H$58="Muy Baja",academico!$L$58="Leve"),CONCATENATE("R",academico!$A$58),"")</f>
        <v/>
      </c>
      <c r="O42" s="332"/>
      <c r="P42" s="333" t="str">
        <f ca="1">IF(AND(academico!$H$46="Muy Baja",academico!$L$46="Menor"),CONCATENATE("R",academico!$A$46),"")</f>
        <v/>
      </c>
      <c r="Q42" s="331"/>
      <c r="R42" s="331" t="str">
        <f ca="1">IF(AND(academico!$H$52="Muy Baja",academico!$L$52="Menor"),CONCATENATE("R",academico!$A$52),"")</f>
        <v/>
      </c>
      <c r="S42" s="331"/>
      <c r="T42" s="331" t="str">
        <f ca="1">IF(AND(academico!$H$58="Muy Baja",academico!$L$58="Menor"),CONCATENATE("R",academico!$A$58),"")</f>
        <v/>
      </c>
      <c r="U42" s="332"/>
      <c r="V42" s="322" t="str">
        <f ca="1">IF(AND(academico!$H$46="Muy Baja",academico!$L$46="Moderado"),CONCATENATE("R",academico!$A$46),"")</f>
        <v/>
      </c>
      <c r="W42" s="323"/>
      <c r="X42" s="323" t="str">
        <f ca="1">IF(AND(academico!$H$52="Muy Baja",academico!$L$52="Moderado"),CONCATENATE("R",academico!$A$52),"")</f>
        <v/>
      </c>
      <c r="Y42" s="323"/>
      <c r="Z42" s="323" t="str">
        <f ca="1">IF(AND(academico!$H$58="Muy Baja",academico!$L$58="Moderado"),CONCATENATE("R",academico!$A$58),"")</f>
        <v/>
      </c>
      <c r="AA42" s="324"/>
      <c r="AB42" s="306" t="str">
        <f ca="1">IF(AND(academico!$H$46="Muy Baja",academico!$L$46="Mayor"),CONCATENATE("R",academico!$A$46),"")</f>
        <v/>
      </c>
      <c r="AC42" s="302"/>
      <c r="AD42" s="302" t="str">
        <f ca="1">IF(AND(academico!$H$52="Muy Baja",academico!$L$52="Mayor"),CONCATENATE("R",academico!$A$52),"")</f>
        <v/>
      </c>
      <c r="AE42" s="302"/>
      <c r="AF42" s="302" t="str">
        <f ca="1">IF(AND(academico!$H$58="Muy Baja",academico!$L$58="Mayor"),CONCATENATE("R",academico!$A$58),"")</f>
        <v/>
      </c>
      <c r="AG42" s="303"/>
      <c r="AH42" s="313" t="str">
        <f ca="1">IF(AND(academico!$H$46="Muy Baja",academico!$L$46="Catastrófico"),CONCATENATE("R",academico!$A$46),"")</f>
        <v/>
      </c>
      <c r="AI42" s="314"/>
      <c r="AJ42" s="314" t="str">
        <f ca="1">IF(AND(academico!$H$52="Muy Baja",academico!$L$52="Catastrófico"),CONCATENATE("R",academico!$A$52),"")</f>
        <v/>
      </c>
      <c r="AK42" s="314"/>
      <c r="AL42" s="314" t="str">
        <f ca="1">IF(AND(academico!$H$58="Muy Baja",academico!$L$58="Catastrófico"),CONCATENATE("R",academico!$A$58),"")</f>
        <v/>
      </c>
      <c r="AM42" s="315"/>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25">
      <c r="A43" s="83"/>
      <c r="B43" s="255"/>
      <c r="C43" s="255"/>
      <c r="D43" s="256"/>
      <c r="E43" s="296"/>
      <c r="F43" s="297"/>
      <c r="G43" s="297"/>
      <c r="H43" s="297"/>
      <c r="I43" s="298"/>
      <c r="J43" s="333"/>
      <c r="K43" s="331"/>
      <c r="L43" s="331"/>
      <c r="M43" s="331"/>
      <c r="N43" s="331"/>
      <c r="O43" s="332"/>
      <c r="P43" s="333"/>
      <c r="Q43" s="331"/>
      <c r="R43" s="331"/>
      <c r="S43" s="331"/>
      <c r="T43" s="331"/>
      <c r="U43" s="332"/>
      <c r="V43" s="322"/>
      <c r="W43" s="323"/>
      <c r="X43" s="323"/>
      <c r="Y43" s="323"/>
      <c r="Z43" s="323"/>
      <c r="AA43" s="324"/>
      <c r="AB43" s="306"/>
      <c r="AC43" s="302"/>
      <c r="AD43" s="302"/>
      <c r="AE43" s="302"/>
      <c r="AF43" s="302"/>
      <c r="AG43" s="303"/>
      <c r="AH43" s="313"/>
      <c r="AI43" s="314"/>
      <c r="AJ43" s="314"/>
      <c r="AK43" s="314"/>
      <c r="AL43" s="314"/>
      <c r="AM43" s="315"/>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25">
      <c r="A44" s="83"/>
      <c r="B44" s="255"/>
      <c r="C44" s="255"/>
      <c r="D44" s="256"/>
      <c r="E44" s="296"/>
      <c r="F44" s="297"/>
      <c r="G44" s="297"/>
      <c r="H44" s="297"/>
      <c r="I44" s="298"/>
      <c r="J44" s="333" t="str">
        <f ca="1">IF(AND(academico!$H$64="Muy Baja",academico!$L$64="Leve"),CONCATENATE("R",academico!$A$64),"")</f>
        <v/>
      </c>
      <c r="K44" s="331"/>
      <c r="L44" s="331" t="str">
        <f>IF(AND(academico!$H$70="Muy Baja",academico!$L$70="Leve"),CONCATENATE("R",academico!$A$70),"")</f>
        <v/>
      </c>
      <c r="M44" s="331"/>
      <c r="N44" s="331" t="str">
        <f>IF(AND(academico!$H$76="Muy Baja",academico!$L$76="Leve"),CONCATENATE("R",academico!$A$76),"")</f>
        <v/>
      </c>
      <c r="O44" s="332"/>
      <c r="P44" s="333" t="str">
        <f ca="1">IF(AND(academico!$H$64="Muy Baja",academico!$L$64="Menor"),CONCATENATE("R",academico!$A$64),"")</f>
        <v/>
      </c>
      <c r="Q44" s="331"/>
      <c r="R44" s="331" t="str">
        <f>IF(AND(academico!$H$70="Muy Baja",academico!$L$70="Menor"),CONCATENATE("R",academico!$A$70),"")</f>
        <v/>
      </c>
      <c r="S44" s="331"/>
      <c r="T44" s="331" t="str">
        <f>IF(AND(academico!$H$76="Muy Baja",academico!$L$76="Menor"),CONCATENATE("R",academico!$A$76),"")</f>
        <v/>
      </c>
      <c r="U44" s="332"/>
      <c r="V44" s="322" t="str">
        <f ca="1">IF(AND(academico!$H$64="Muy Baja",academico!$L$64="Moderado"),CONCATENATE("R",academico!$A$64),"")</f>
        <v/>
      </c>
      <c r="W44" s="323"/>
      <c r="X44" s="323" t="str">
        <f>IF(AND(academico!$H$70="Muy Baja",academico!$L$70="Moderado"),CONCATENATE("R",academico!$A$70),"")</f>
        <v/>
      </c>
      <c r="Y44" s="323"/>
      <c r="Z44" s="323" t="str">
        <f>IF(AND(academico!$H$76="Muy Baja",academico!$L$76="Moderado"),CONCATENATE("R",academico!$A$76),"")</f>
        <v/>
      </c>
      <c r="AA44" s="324"/>
      <c r="AB44" s="306" t="str">
        <f ca="1">IF(AND(academico!$H$64="Muy Baja",academico!$L$64="Mayor"),CONCATENATE("R",academico!$A$64),"")</f>
        <v/>
      </c>
      <c r="AC44" s="302"/>
      <c r="AD44" s="302" t="str">
        <f>IF(AND(academico!$H$70="Muy Baja",academico!$L$70="Mayor"),CONCATENATE("R",academico!$A$70),"")</f>
        <v/>
      </c>
      <c r="AE44" s="302"/>
      <c r="AF44" s="302" t="str">
        <f>IF(AND(academico!$H$76="Muy Baja",academico!$L$76="Mayor"),CONCATENATE("R",academico!$A$76),"")</f>
        <v/>
      </c>
      <c r="AG44" s="303"/>
      <c r="AH44" s="313" t="str">
        <f ca="1">IF(AND(academico!$H$64="Muy Baja",academico!$L$64="Catastrófico"),CONCATENATE("R",academico!$A$64),"")</f>
        <v/>
      </c>
      <c r="AI44" s="314"/>
      <c r="AJ44" s="314" t="str">
        <f>IF(AND(academico!$H$70="Muy Baja",academico!$L$70="Catastrófico"),CONCATENATE("R",academico!$A$70),"")</f>
        <v/>
      </c>
      <c r="AK44" s="314"/>
      <c r="AL44" s="314" t="str">
        <f>IF(AND(academico!$H$76="Muy Baja",academico!$L$76="Catastrófico"),CONCATENATE("R",academico!$A$76),"")</f>
        <v/>
      </c>
      <c r="AM44" s="315"/>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75" thickBot="1" x14ac:dyDescent="0.3">
      <c r="A45" s="83"/>
      <c r="B45" s="255"/>
      <c r="C45" s="255"/>
      <c r="D45" s="256"/>
      <c r="E45" s="299"/>
      <c r="F45" s="300"/>
      <c r="G45" s="300"/>
      <c r="H45" s="300"/>
      <c r="I45" s="301"/>
      <c r="J45" s="334"/>
      <c r="K45" s="335"/>
      <c r="L45" s="335"/>
      <c r="M45" s="335"/>
      <c r="N45" s="335"/>
      <c r="O45" s="336"/>
      <c r="P45" s="334"/>
      <c r="Q45" s="335"/>
      <c r="R45" s="335"/>
      <c r="S45" s="335"/>
      <c r="T45" s="335"/>
      <c r="U45" s="336"/>
      <c r="V45" s="325"/>
      <c r="W45" s="326"/>
      <c r="X45" s="326"/>
      <c r="Y45" s="326"/>
      <c r="Z45" s="326"/>
      <c r="AA45" s="327"/>
      <c r="AB45" s="310"/>
      <c r="AC45" s="311"/>
      <c r="AD45" s="311"/>
      <c r="AE45" s="311"/>
      <c r="AF45" s="311"/>
      <c r="AG45" s="312"/>
      <c r="AH45" s="316"/>
      <c r="AI45" s="317"/>
      <c r="AJ45" s="317"/>
      <c r="AK45" s="317"/>
      <c r="AL45" s="317"/>
      <c r="AM45" s="318"/>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25">
      <c r="A46" s="83"/>
      <c r="B46" s="83"/>
      <c r="C46" s="83"/>
      <c r="D46" s="83"/>
      <c r="E46" s="83"/>
      <c r="F46" s="83"/>
      <c r="G46" s="83"/>
      <c r="H46" s="83"/>
      <c r="I46" s="83"/>
      <c r="J46" s="293" t="s">
        <v>112</v>
      </c>
      <c r="K46" s="294"/>
      <c r="L46" s="294"/>
      <c r="M46" s="294"/>
      <c r="N46" s="294"/>
      <c r="O46" s="295"/>
      <c r="P46" s="293" t="s">
        <v>111</v>
      </c>
      <c r="Q46" s="294"/>
      <c r="R46" s="294"/>
      <c r="S46" s="294"/>
      <c r="T46" s="294"/>
      <c r="U46" s="295"/>
      <c r="V46" s="293" t="s">
        <v>110</v>
      </c>
      <c r="W46" s="294"/>
      <c r="X46" s="294"/>
      <c r="Y46" s="294"/>
      <c r="Z46" s="294"/>
      <c r="AA46" s="295"/>
      <c r="AB46" s="293" t="s">
        <v>109</v>
      </c>
      <c r="AC46" s="309"/>
      <c r="AD46" s="294"/>
      <c r="AE46" s="294"/>
      <c r="AF46" s="294"/>
      <c r="AG46" s="295"/>
      <c r="AH46" s="293" t="s">
        <v>108</v>
      </c>
      <c r="AI46" s="294"/>
      <c r="AJ46" s="294"/>
      <c r="AK46" s="294"/>
      <c r="AL46" s="294"/>
      <c r="AM46" s="295"/>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25">
      <c r="A47" s="83"/>
      <c r="B47" s="83"/>
      <c r="C47" s="83"/>
      <c r="D47" s="83"/>
      <c r="E47" s="83"/>
      <c r="F47" s="83"/>
      <c r="G47" s="83"/>
      <c r="H47" s="83"/>
      <c r="I47" s="83"/>
      <c r="J47" s="296"/>
      <c r="K47" s="297"/>
      <c r="L47" s="297"/>
      <c r="M47" s="297"/>
      <c r="N47" s="297"/>
      <c r="O47" s="298"/>
      <c r="P47" s="296"/>
      <c r="Q47" s="297"/>
      <c r="R47" s="297"/>
      <c r="S47" s="297"/>
      <c r="T47" s="297"/>
      <c r="U47" s="298"/>
      <c r="V47" s="296"/>
      <c r="W47" s="297"/>
      <c r="X47" s="297"/>
      <c r="Y47" s="297"/>
      <c r="Z47" s="297"/>
      <c r="AA47" s="298"/>
      <c r="AB47" s="296"/>
      <c r="AC47" s="297"/>
      <c r="AD47" s="297"/>
      <c r="AE47" s="297"/>
      <c r="AF47" s="297"/>
      <c r="AG47" s="298"/>
      <c r="AH47" s="296"/>
      <c r="AI47" s="297"/>
      <c r="AJ47" s="297"/>
      <c r="AK47" s="297"/>
      <c r="AL47" s="297"/>
      <c r="AM47" s="298"/>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25">
      <c r="A48" s="83"/>
      <c r="B48" s="83"/>
      <c r="C48" s="83"/>
      <c r="D48" s="83"/>
      <c r="E48" s="83"/>
      <c r="F48" s="83"/>
      <c r="G48" s="83"/>
      <c r="H48" s="83"/>
      <c r="I48" s="83"/>
      <c r="J48" s="296"/>
      <c r="K48" s="297"/>
      <c r="L48" s="297"/>
      <c r="M48" s="297"/>
      <c r="N48" s="297"/>
      <c r="O48" s="298"/>
      <c r="P48" s="296"/>
      <c r="Q48" s="297"/>
      <c r="R48" s="297"/>
      <c r="S48" s="297"/>
      <c r="T48" s="297"/>
      <c r="U48" s="298"/>
      <c r="V48" s="296"/>
      <c r="W48" s="297"/>
      <c r="X48" s="297"/>
      <c r="Y48" s="297"/>
      <c r="Z48" s="297"/>
      <c r="AA48" s="298"/>
      <c r="AB48" s="296"/>
      <c r="AC48" s="297"/>
      <c r="AD48" s="297"/>
      <c r="AE48" s="297"/>
      <c r="AF48" s="297"/>
      <c r="AG48" s="298"/>
      <c r="AH48" s="296"/>
      <c r="AI48" s="297"/>
      <c r="AJ48" s="297"/>
      <c r="AK48" s="297"/>
      <c r="AL48" s="297"/>
      <c r="AM48" s="298"/>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25">
      <c r="A49" s="83"/>
      <c r="B49" s="83"/>
      <c r="C49" s="83"/>
      <c r="D49" s="83"/>
      <c r="E49" s="83"/>
      <c r="F49" s="83"/>
      <c r="G49" s="83"/>
      <c r="H49" s="83"/>
      <c r="I49" s="83"/>
      <c r="J49" s="296"/>
      <c r="K49" s="297"/>
      <c r="L49" s="297"/>
      <c r="M49" s="297"/>
      <c r="N49" s="297"/>
      <c r="O49" s="298"/>
      <c r="P49" s="296"/>
      <c r="Q49" s="297"/>
      <c r="R49" s="297"/>
      <c r="S49" s="297"/>
      <c r="T49" s="297"/>
      <c r="U49" s="298"/>
      <c r="V49" s="296"/>
      <c r="W49" s="297"/>
      <c r="X49" s="297"/>
      <c r="Y49" s="297"/>
      <c r="Z49" s="297"/>
      <c r="AA49" s="298"/>
      <c r="AB49" s="296"/>
      <c r="AC49" s="297"/>
      <c r="AD49" s="297"/>
      <c r="AE49" s="297"/>
      <c r="AF49" s="297"/>
      <c r="AG49" s="298"/>
      <c r="AH49" s="296"/>
      <c r="AI49" s="297"/>
      <c r="AJ49" s="297"/>
      <c r="AK49" s="297"/>
      <c r="AL49" s="297"/>
      <c r="AM49" s="298"/>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25">
      <c r="A50" s="83"/>
      <c r="B50" s="83"/>
      <c r="C50" s="83"/>
      <c r="D50" s="83"/>
      <c r="E50" s="83"/>
      <c r="F50" s="83"/>
      <c r="G50" s="83"/>
      <c r="H50" s="83"/>
      <c r="I50" s="83"/>
      <c r="J50" s="296"/>
      <c r="K50" s="297"/>
      <c r="L50" s="297"/>
      <c r="M50" s="297"/>
      <c r="N50" s="297"/>
      <c r="O50" s="298"/>
      <c r="P50" s="296"/>
      <c r="Q50" s="297"/>
      <c r="R50" s="297"/>
      <c r="S50" s="297"/>
      <c r="T50" s="297"/>
      <c r="U50" s="298"/>
      <c r="V50" s="296"/>
      <c r="W50" s="297"/>
      <c r="X50" s="297"/>
      <c r="Y50" s="297"/>
      <c r="Z50" s="297"/>
      <c r="AA50" s="298"/>
      <c r="AB50" s="296"/>
      <c r="AC50" s="297"/>
      <c r="AD50" s="297"/>
      <c r="AE50" s="297"/>
      <c r="AF50" s="297"/>
      <c r="AG50" s="298"/>
      <c r="AH50" s="296"/>
      <c r="AI50" s="297"/>
      <c r="AJ50" s="297"/>
      <c r="AK50" s="297"/>
      <c r="AL50" s="297"/>
      <c r="AM50" s="298"/>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75" thickBot="1" x14ac:dyDescent="0.3">
      <c r="A51" s="83"/>
      <c r="B51" s="83"/>
      <c r="C51" s="83"/>
      <c r="D51" s="83"/>
      <c r="E51" s="83"/>
      <c r="F51" s="83"/>
      <c r="G51" s="83"/>
      <c r="H51" s="83"/>
      <c r="I51" s="83"/>
      <c r="J51" s="299"/>
      <c r="K51" s="300"/>
      <c r="L51" s="300"/>
      <c r="M51" s="300"/>
      <c r="N51" s="300"/>
      <c r="O51" s="301"/>
      <c r="P51" s="299"/>
      <c r="Q51" s="300"/>
      <c r="R51" s="300"/>
      <c r="S51" s="300"/>
      <c r="T51" s="300"/>
      <c r="U51" s="301"/>
      <c r="V51" s="299"/>
      <c r="W51" s="300"/>
      <c r="X51" s="300"/>
      <c r="Y51" s="300"/>
      <c r="Z51" s="300"/>
      <c r="AA51" s="301"/>
      <c r="AB51" s="299"/>
      <c r="AC51" s="300"/>
      <c r="AD51" s="300"/>
      <c r="AE51" s="300"/>
      <c r="AF51" s="300"/>
      <c r="AG51" s="301"/>
      <c r="AH51" s="299"/>
      <c r="AI51" s="300"/>
      <c r="AJ51" s="300"/>
      <c r="AK51" s="300"/>
      <c r="AL51" s="300"/>
      <c r="AM51" s="301"/>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25">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25">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25">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25">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25">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25">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25">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25">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25">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25">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25">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25">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25">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25">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25">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25">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25">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25">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25">
      <c r="B137" s="83"/>
      <c r="C137" s="83"/>
      <c r="D137" s="83"/>
      <c r="E137" s="83"/>
      <c r="F137" s="83"/>
      <c r="G137" s="83"/>
      <c r="H137" s="83"/>
      <c r="I137" s="83"/>
    </row>
    <row r="138" spans="2:63" x14ac:dyDescent="0.25">
      <c r="B138" s="83"/>
      <c r="C138" s="83"/>
      <c r="D138" s="83"/>
      <c r="E138" s="83"/>
      <c r="F138" s="83"/>
      <c r="G138" s="83"/>
      <c r="H138" s="83"/>
      <c r="I138" s="83"/>
    </row>
    <row r="139" spans="2:63" x14ac:dyDescent="0.25">
      <c r="B139" s="83"/>
      <c r="C139" s="83"/>
      <c r="D139" s="83"/>
      <c r="E139" s="83"/>
      <c r="F139" s="83"/>
      <c r="G139" s="83"/>
      <c r="H139" s="83"/>
      <c r="I139" s="83"/>
    </row>
    <row r="140" spans="2:63" x14ac:dyDescent="0.25">
      <c r="B140" s="83"/>
      <c r="C140" s="83"/>
      <c r="D140" s="83"/>
      <c r="E140" s="83"/>
      <c r="F140" s="83"/>
      <c r="G140" s="83"/>
      <c r="H140" s="83"/>
      <c r="I140" s="83"/>
    </row>
  </sheetData>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M248"/>
  <sheetViews>
    <sheetView topLeftCell="A13" zoomScale="50" zoomScaleNormal="50" workbookViewId="0">
      <selection activeCell="E36" sqref="E36:I45"/>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25">
      <c r="A2" s="83"/>
      <c r="B2" s="366" t="s">
        <v>160</v>
      </c>
      <c r="C2" s="367"/>
      <c r="D2" s="367"/>
      <c r="E2" s="367"/>
      <c r="F2" s="367"/>
      <c r="G2" s="367"/>
      <c r="H2" s="367"/>
      <c r="I2" s="367"/>
      <c r="J2" s="308" t="s">
        <v>2</v>
      </c>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25">
      <c r="A3" s="83"/>
      <c r="B3" s="367"/>
      <c r="C3" s="367"/>
      <c r="D3" s="367"/>
      <c r="E3" s="367"/>
      <c r="F3" s="367"/>
      <c r="G3" s="367"/>
      <c r="H3" s="367"/>
      <c r="I3" s="367"/>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08"/>
      <c r="AJ3" s="308"/>
      <c r="AK3" s="308"/>
      <c r="AL3" s="308"/>
      <c r="AM3" s="308"/>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25">
      <c r="A4" s="83"/>
      <c r="B4" s="367"/>
      <c r="C4" s="367"/>
      <c r="D4" s="367"/>
      <c r="E4" s="367"/>
      <c r="F4" s="367"/>
      <c r="G4" s="367"/>
      <c r="H4" s="367"/>
      <c r="I4" s="367"/>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25">
      <c r="A6" s="83"/>
      <c r="B6" s="255" t="s">
        <v>4</v>
      </c>
      <c r="C6" s="255"/>
      <c r="D6" s="256"/>
      <c r="E6" s="350" t="s">
        <v>116</v>
      </c>
      <c r="F6" s="351"/>
      <c r="G6" s="351"/>
      <c r="H6" s="351"/>
      <c r="I6" s="368"/>
      <c r="J6" s="46" t="str">
        <f ca="1">IF(AND(academico!$Y$10="Muy Alta",academico!$AA$10="Leve"),CONCATENATE("R1C",academico!$O$10),"")</f>
        <v/>
      </c>
      <c r="K6" s="47" t="str">
        <f ca="1">IF(AND(academico!$Y$11="Muy Alta",academico!$AA$11="Leve"),CONCATENATE("R1C",academico!$O$11),"")</f>
        <v/>
      </c>
      <c r="L6" s="47" t="str">
        <f>IF(AND(academico!$Y$12="Muy Alta",academico!$AA$12="Leve"),CONCATENATE("R1C",academico!$O$12),"")</f>
        <v/>
      </c>
      <c r="M6" s="47" t="str">
        <f>IF(AND(academico!$Y$13="Muy Alta",academico!$AA$13="Leve"),CONCATENATE("R1C",academico!$O$13),"")</f>
        <v/>
      </c>
      <c r="N6" s="47" t="str">
        <f>IF(AND(academico!$Y$14="Muy Alta",academico!$AA$14="Leve"),CONCATENATE("R1C",academico!$O$14),"")</f>
        <v/>
      </c>
      <c r="O6" s="48" t="str">
        <f>IF(AND(academico!$Y$15="Muy Alta",academico!$AA$15="Leve"),CONCATENATE("R1C",academico!$O$15),"")</f>
        <v/>
      </c>
      <c r="P6" s="46" t="str">
        <f ca="1">IF(AND(academico!$Y$10="Muy Alta",academico!$AA$10="Menor"),CONCATENATE("R1C",academico!$O$10),"")</f>
        <v/>
      </c>
      <c r="Q6" s="47" t="str">
        <f ca="1">IF(AND(academico!$Y$11="Muy Alta",academico!$AA$11="Menor"),CONCATENATE("R1C",academico!$O$11),"")</f>
        <v/>
      </c>
      <c r="R6" s="47" t="str">
        <f>IF(AND(academico!$Y$12="Muy Alta",academico!$AA$12="Menor"),CONCATENATE("R1C",academico!$O$12),"")</f>
        <v/>
      </c>
      <c r="S6" s="47" t="str">
        <f>IF(AND(academico!$Y$13="Muy Alta",academico!$AA$13="Menor"),CONCATENATE("R1C",academico!$O$13),"")</f>
        <v/>
      </c>
      <c r="T6" s="47" t="str">
        <f>IF(AND(academico!$Y$14="Muy Alta",academico!$AA$14="Menor"),CONCATENATE("R1C",academico!$O$14),"")</f>
        <v/>
      </c>
      <c r="U6" s="48" t="str">
        <f>IF(AND(academico!$Y$15="Muy Alta",academico!$AA$15="Menor"),CONCATENATE("R1C",academico!$O$15),"")</f>
        <v/>
      </c>
      <c r="V6" s="46" t="str">
        <f ca="1">IF(AND(academico!$Y$10="Muy Alta",academico!$AA$10="Moderado"),CONCATENATE("R1C",academico!$O$10),"")</f>
        <v/>
      </c>
      <c r="W6" s="47" t="str">
        <f ca="1">IF(AND(academico!$Y$11="Muy Alta",academico!$AA$11="Moderado"),CONCATENATE("R1C",academico!$O$11),"")</f>
        <v/>
      </c>
      <c r="X6" s="47" t="str">
        <f>IF(AND(academico!$Y$12="Muy Alta",academico!$AA$12="Moderado"),CONCATENATE("R1C",academico!$O$12),"")</f>
        <v/>
      </c>
      <c r="Y6" s="47" t="str">
        <f>IF(AND(academico!$Y$13="Muy Alta",academico!$AA$13="Moderado"),CONCATENATE("R1C",academico!$O$13),"")</f>
        <v/>
      </c>
      <c r="Z6" s="47" t="str">
        <f>IF(AND(academico!$Y$14="Muy Alta",academico!$AA$14="Moderado"),CONCATENATE("R1C",academico!$O$14),"")</f>
        <v/>
      </c>
      <c r="AA6" s="48" t="str">
        <f>IF(AND(academico!$Y$15="Muy Alta",academico!$AA$15="Moderado"),CONCATENATE("R1C",academico!$O$15),"")</f>
        <v/>
      </c>
      <c r="AB6" s="46" t="str">
        <f ca="1">IF(AND(academico!$Y$10="Muy Alta",academico!$AA$10="Mayor"),CONCATENATE("R1C",academico!$O$10),"")</f>
        <v/>
      </c>
      <c r="AC6" s="47" t="str">
        <f ca="1">IF(AND(academico!$Y$11="Muy Alta",academico!$AA$11="Mayor"),CONCATENATE("R1C",academico!$O$11),"")</f>
        <v/>
      </c>
      <c r="AD6" s="47" t="str">
        <f>IF(AND(academico!$Y$12="Muy Alta",academico!$AA$12="Mayor"),CONCATENATE("R1C",academico!$O$12),"")</f>
        <v/>
      </c>
      <c r="AE6" s="47" t="str">
        <f>IF(AND(academico!$Y$13="Muy Alta",academico!$AA$13="Mayor"),CONCATENATE("R1C",academico!$O$13),"")</f>
        <v/>
      </c>
      <c r="AF6" s="47" t="str">
        <f>IF(AND(academico!$Y$14="Muy Alta",academico!$AA$14="Mayor"),CONCATENATE("R1C",academico!$O$14),"")</f>
        <v/>
      </c>
      <c r="AG6" s="48" t="str">
        <f>IF(AND(academico!$Y$15="Muy Alta",academico!$AA$15="Mayor"),CONCATENATE("R1C",academico!$O$15),"")</f>
        <v/>
      </c>
      <c r="AH6" s="49" t="str">
        <f ca="1">IF(AND(academico!$Y$10="Muy Alta",academico!$AA$10="Catastrófico"),CONCATENATE("R1C",academico!$O$10),"")</f>
        <v/>
      </c>
      <c r="AI6" s="50" t="str">
        <f ca="1">IF(AND(academico!$Y$11="Muy Alta",academico!$AA$11="Catastrófico"),CONCATENATE("R1C",academico!$O$11),"")</f>
        <v/>
      </c>
      <c r="AJ6" s="50" t="str">
        <f>IF(AND(academico!$Y$12="Muy Alta",academico!$AA$12="Catastrófico"),CONCATENATE("R1C",academico!$O$12),"")</f>
        <v/>
      </c>
      <c r="AK6" s="50" t="str">
        <f>IF(AND(academico!$Y$13="Muy Alta",academico!$AA$13="Catastrófico"),CONCATENATE("R1C",academico!$O$13),"")</f>
        <v/>
      </c>
      <c r="AL6" s="50" t="str">
        <f>IF(AND(academico!$Y$14="Muy Alta",academico!$AA$14="Catastrófico"),CONCATENATE("R1C",academico!$O$14),"")</f>
        <v/>
      </c>
      <c r="AM6" s="51" t="str">
        <f>IF(AND(academico!$Y$15="Muy Alta",academico!$AA$15="Catastrófico"),CONCATENATE("R1C",academico!$O$15),"")</f>
        <v/>
      </c>
      <c r="AN6" s="83"/>
      <c r="AO6" s="357" t="s">
        <v>79</v>
      </c>
      <c r="AP6" s="358"/>
      <c r="AQ6" s="358"/>
      <c r="AR6" s="358"/>
      <c r="AS6" s="358"/>
      <c r="AT6" s="359"/>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25">
      <c r="A7" s="83"/>
      <c r="B7" s="255"/>
      <c r="C7" s="255"/>
      <c r="D7" s="256"/>
      <c r="E7" s="354"/>
      <c r="F7" s="353"/>
      <c r="G7" s="353"/>
      <c r="H7" s="353"/>
      <c r="I7" s="369"/>
      <c r="J7" s="52" t="str">
        <f>IF(AND(academico!$Y$16="Muy Alta",academico!$AA$16="Leve"),CONCATENATE("R2C",academico!$O$16),"")</f>
        <v/>
      </c>
      <c r="K7" s="53" t="str">
        <f>IF(AND(academico!$Y$17="Muy Alta",academico!$AA$17="Leve"),CONCATENATE("R2C",academico!$O$17),"")</f>
        <v/>
      </c>
      <c r="L7" s="53" t="str">
        <f>IF(AND(academico!$Y$18="Muy Alta",academico!$AA$18="Leve"),CONCATENATE("R2C",academico!$O$18),"")</f>
        <v/>
      </c>
      <c r="M7" s="53" t="str">
        <f>IF(AND(academico!$Y$19="Muy Alta",academico!$AA$19="Leve"),CONCATENATE("R2C",academico!$O$19),"")</f>
        <v/>
      </c>
      <c r="N7" s="53" t="str">
        <f>IF(AND(academico!$Y$20="Muy Alta",academico!$AA$20="Leve"),CONCATENATE("R2C",academico!$O$20),"")</f>
        <v/>
      </c>
      <c r="O7" s="54" t="str">
        <f>IF(AND(academico!$Y$21="Muy Alta",academico!$AA$21="Leve"),CONCATENATE("R2C",academico!$O$21),"")</f>
        <v/>
      </c>
      <c r="P7" s="52" t="str">
        <f>IF(AND(academico!$Y$16="Muy Alta",academico!$AA$16="Menor"),CONCATENATE("R2C",academico!$O$16),"")</f>
        <v/>
      </c>
      <c r="Q7" s="53" t="str">
        <f>IF(AND(academico!$Y$17="Muy Alta",academico!$AA$17="Menor"),CONCATENATE("R2C",academico!$O$17),"")</f>
        <v/>
      </c>
      <c r="R7" s="53" t="str">
        <f>IF(AND(academico!$Y$18="Muy Alta",academico!$AA$18="Menor"),CONCATENATE("R2C",academico!$O$18),"")</f>
        <v/>
      </c>
      <c r="S7" s="53" t="str">
        <f>IF(AND(academico!$Y$19="Muy Alta",academico!$AA$19="Menor"),CONCATENATE("R2C",academico!$O$19),"")</f>
        <v/>
      </c>
      <c r="T7" s="53" t="str">
        <f>IF(AND(academico!$Y$20="Muy Alta",academico!$AA$20="Menor"),CONCATENATE("R2C",academico!$O$20),"")</f>
        <v/>
      </c>
      <c r="U7" s="54" t="str">
        <f>IF(AND(academico!$Y$21="Muy Alta",academico!$AA$21="Menor"),CONCATENATE("R2C",academico!$O$21),"")</f>
        <v/>
      </c>
      <c r="V7" s="52" t="str">
        <f>IF(AND(academico!$Y$16="Muy Alta",academico!$AA$16="Moderado"),CONCATENATE("R2C",academico!$O$16),"")</f>
        <v/>
      </c>
      <c r="W7" s="53" t="str">
        <f>IF(AND(academico!$Y$17="Muy Alta",academico!$AA$17="Moderado"),CONCATENATE("R2C",academico!$O$17),"")</f>
        <v/>
      </c>
      <c r="X7" s="53" t="str">
        <f>IF(AND(academico!$Y$18="Muy Alta",academico!$AA$18="Moderado"),CONCATENATE("R2C",academico!$O$18),"")</f>
        <v/>
      </c>
      <c r="Y7" s="53" t="str">
        <f>IF(AND(academico!$Y$19="Muy Alta",academico!$AA$19="Moderado"),CONCATENATE("R2C",academico!$O$19),"")</f>
        <v/>
      </c>
      <c r="Z7" s="53" t="str">
        <f>IF(AND(academico!$Y$20="Muy Alta",academico!$AA$20="Moderado"),CONCATENATE("R2C",academico!$O$20),"")</f>
        <v/>
      </c>
      <c r="AA7" s="54" t="str">
        <f>IF(AND(academico!$Y$21="Muy Alta",academico!$AA$21="Moderado"),CONCATENATE("R2C",academico!$O$21),"")</f>
        <v/>
      </c>
      <c r="AB7" s="52" t="str">
        <f>IF(AND(academico!$Y$16="Muy Alta",academico!$AA$16="Mayor"),CONCATENATE("R2C",academico!$O$16),"")</f>
        <v/>
      </c>
      <c r="AC7" s="53" t="str">
        <f>IF(AND(academico!$Y$17="Muy Alta",academico!$AA$17="Mayor"),CONCATENATE("R2C",academico!$O$17),"")</f>
        <v/>
      </c>
      <c r="AD7" s="53" t="str">
        <f>IF(AND(academico!$Y$18="Muy Alta",academico!$AA$18="Mayor"),CONCATENATE("R2C",academico!$O$18),"")</f>
        <v/>
      </c>
      <c r="AE7" s="53" t="str">
        <f>IF(AND(academico!$Y$19="Muy Alta",academico!$AA$19="Mayor"),CONCATENATE("R2C",academico!$O$19),"")</f>
        <v/>
      </c>
      <c r="AF7" s="53" t="str">
        <f>IF(AND(academico!$Y$20="Muy Alta",academico!$AA$20="Mayor"),CONCATENATE("R2C",academico!$O$20),"")</f>
        <v/>
      </c>
      <c r="AG7" s="54" t="str">
        <f>IF(AND(academico!$Y$21="Muy Alta",academico!$AA$21="Mayor"),CONCATENATE("R2C",academico!$O$21),"")</f>
        <v/>
      </c>
      <c r="AH7" s="55" t="str">
        <f>IF(AND(academico!$Y$16="Muy Alta",academico!$AA$16="Catastrófico"),CONCATENATE("R2C",academico!$O$16),"")</f>
        <v/>
      </c>
      <c r="AI7" s="56" t="str">
        <f>IF(AND(academico!$Y$17="Muy Alta",academico!$AA$17="Catastrófico"),CONCATENATE("R2C",academico!$O$17),"")</f>
        <v/>
      </c>
      <c r="AJ7" s="56" t="str">
        <f>IF(AND(academico!$Y$18="Muy Alta",academico!$AA$18="Catastrófico"),CONCATENATE("R2C",academico!$O$18),"")</f>
        <v/>
      </c>
      <c r="AK7" s="56" t="str">
        <f>IF(AND(academico!$Y$19="Muy Alta",academico!$AA$19="Catastrófico"),CONCATENATE("R2C",academico!$O$19),"")</f>
        <v/>
      </c>
      <c r="AL7" s="56" t="str">
        <f>IF(AND(academico!$Y$20="Muy Alta",academico!$AA$20="Catastrófico"),CONCATENATE("R2C",academico!$O$20),"")</f>
        <v/>
      </c>
      <c r="AM7" s="57" t="str">
        <f>IF(AND(academico!$Y$21="Muy Alta",academico!$AA$21="Catastrófico"),CONCATENATE("R2C",academico!$O$21),"")</f>
        <v/>
      </c>
      <c r="AN7" s="83"/>
      <c r="AO7" s="360"/>
      <c r="AP7" s="361"/>
      <c r="AQ7" s="361"/>
      <c r="AR7" s="361"/>
      <c r="AS7" s="361"/>
      <c r="AT7" s="362"/>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25">
      <c r="A8" s="83"/>
      <c r="B8" s="255"/>
      <c r="C8" s="255"/>
      <c r="D8" s="256"/>
      <c r="E8" s="354"/>
      <c r="F8" s="353"/>
      <c r="G8" s="353"/>
      <c r="H8" s="353"/>
      <c r="I8" s="369"/>
      <c r="J8" s="52" t="str">
        <f>IF(AND(academico!$Y$22="Muy Alta",academico!$AA$22="Leve"),CONCATENATE("R3C",academico!$O$22),"")</f>
        <v/>
      </c>
      <c r="K8" s="53" t="str">
        <f>IF(AND(academico!$Y$23="Muy Alta",academico!$AA$23="Leve"),CONCATENATE("R3C",academico!$O$23),"")</f>
        <v/>
      </c>
      <c r="L8" s="53" t="str">
        <f>IF(AND(academico!$Y$24="Muy Alta",academico!$AA$24="Leve"),CONCATENATE("R3C",academico!$O$24),"")</f>
        <v/>
      </c>
      <c r="M8" s="53" t="str">
        <f>IF(AND(academico!$Y$25="Muy Alta",academico!$AA$25="Leve"),CONCATENATE("R3C",academico!$O$25),"")</f>
        <v/>
      </c>
      <c r="N8" s="53" t="str">
        <f>IF(AND(academico!$Y$26="Muy Alta",academico!$AA$26="Leve"),CONCATENATE("R3C",academico!$O$26),"")</f>
        <v/>
      </c>
      <c r="O8" s="54" t="str">
        <f>IF(AND(academico!$Y$27="Muy Alta",academico!$AA$27="Leve"),CONCATENATE("R3C",academico!$O$27),"")</f>
        <v/>
      </c>
      <c r="P8" s="52" t="str">
        <f>IF(AND(academico!$Y$22="Muy Alta",academico!$AA$22="Menor"),CONCATENATE("R3C",academico!$O$22),"")</f>
        <v/>
      </c>
      <c r="Q8" s="53" t="str">
        <f>IF(AND(academico!$Y$23="Muy Alta",academico!$AA$23="Menor"),CONCATENATE("R3C",academico!$O$23),"")</f>
        <v/>
      </c>
      <c r="R8" s="53" t="str">
        <f>IF(AND(academico!$Y$24="Muy Alta",academico!$AA$24="Menor"),CONCATENATE("R3C",academico!$O$24),"")</f>
        <v/>
      </c>
      <c r="S8" s="53" t="str">
        <f>IF(AND(academico!$Y$25="Muy Alta",academico!$AA$25="Menor"),CONCATENATE("R3C",academico!$O$25),"")</f>
        <v/>
      </c>
      <c r="T8" s="53" t="str">
        <f>IF(AND(academico!$Y$26="Muy Alta",academico!$AA$26="Menor"),CONCATENATE("R3C",academico!$O$26),"")</f>
        <v/>
      </c>
      <c r="U8" s="54" t="str">
        <f>IF(AND(academico!$Y$27="Muy Alta",academico!$AA$27="Menor"),CONCATENATE("R3C",academico!$O$27),"")</f>
        <v/>
      </c>
      <c r="V8" s="52" t="str">
        <f>IF(AND(academico!$Y$22="Muy Alta",academico!$AA$22="Moderado"),CONCATENATE("R3C",academico!$O$22),"")</f>
        <v/>
      </c>
      <c r="W8" s="53" t="str">
        <f>IF(AND(academico!$Y$23="Muy Alta",academico!$AA$23="Moderado"),CONCATENATE("R3C",academico!$O$23),"")</f>
        <v/>
      </c>
      <c r="X8" s="53" t="str">
        <f>IF(AND(academico!$Y$24="Muy Alta",academico!$AA$24="Moderado"),CONCATENATE("R3C",academico!$O$24),"")</f>
        <v/>
      </c>
      <c r="Y8" s="53" t="str">
        <f>IF(AND(academico!$Y$25="Muy Alta",academico!$AA$25="Moderado"),CONCATENATE("R3C",academico!$O$25),"")</f>
        <v/>
      </c>
      <c r="Z8" s="53" t="str">
        <f>IF(AND(academico!$Y$26="Muy Alta",academico!$AA$26="Moderado"),CONCATENATE("R3C",academico!$O$26),"")</f>
        <v/>
      </c>
      <c r="AA8" s="54" t="str">
        <f>IF(AND(academico!$Y$27="Muy Alta",academico!$AA$27="Moderado"),CONCATENATE("R3C",academico!$O$27),"")</f>
        <v/>
      </c>
      <c r="AB8" s="52" t="str">
        <f>IF(AND(academico!$Y$22="Muy Alta",academico!$AA$22="Mayor"),CONCATENATE("R3C",academico!$O$22),"")</f>
        <v/>
      </c>
      <c r="AC8" s="53" t="str">
        <f>IF(AND(academico!$Y$23="Muy Alta",academico!$AA$23="Mayor"),CONCATENATE("R3C",academico!$O$23),"")</f>
        <v/>
      </c>
      <c r="AD8" s="53" t="str">
        <f>IF(AND(academico!$Y$24="Muy Alta",academico!$AA$24="Mayor"),CONCATENATE("R3C",academico!$O$24),"")</f>
        <v/>
      </c>
      <c r="AE8" s="53" t="str">
        <f>IF(AND(academico!$Y$25="Muy Alta",academico!$AA$25="Mayor"),CONCATENATE("R3C",academico!$O$25),"")</f>
        <v/>
      </c>
      <c r="AF8" s="53" t="str">
        <f>IF(AND(academico!$Y$26="Muy Alta",academico!$AA$26="Mayor"),CONCATENATE("R3C",academico!$O$26),"")</f>
        <v/>
      </c>
      <c r="AG8" s="54" t="str">
        <f>IF(AND(academico!$Y$27="Muy Alta",academico!$AA$27="Mayor"),CONCATENATE("R3C",academico!$O$27),"")</f>
        <v/>
      </c>
      <c r="AH8" s="55" t="str">
        <f>IF(AND(academico!$Y$22="Muy Alta",academico!$AA$22="Catastrófico"),CONCATENATE("R3C",academico!$O$22),"")</f>
        <v/>
      </c>
      <c r="AI8" s="56" t="str">
        <f>IF(AND(academico!$Y$23="Muy Alta",academico!$AA$23="Catastrófico"),CONCATENATE("R3C",academico!$O$23),"")</f>
        <v/>
      </c>
      <c r="AJ8" s="56" t="str">
        <f>IF(AND(academico!$Y$24="Muy Alta",academico!$AA$24="Catastrófico"),CONCATENATE("R3C",academico!$O$24),"")</f>
        <v/>
      </c>
      <c r="AK8" s="56" t="str">
        <f>IF(AND(academico!$Y$25="Muy Alta",academico!$AA$25="Catastrófico"),CONCATENATE("R3C",academico!$O$25),"")</f>
        <v/>
      </c>
      <c r="AL8" s="56" t="str">
        <f>IF(AND(academico!$Y$26="Muy Alta",academico!$AA$26="Catastrófico"),CONCATENATE("R3C",academico!$O$26),"")</f>
        <v/>
      </c>
      <c r="AM8" s="57" t="str">
        <f>IF(AND(academico!$Y$27="Muy Alta",academico!$AA$27="Catastrófico"),CONCATENATE("R3C",academico!$O$27),"")</f>
        <v/>
      </c>
      <c r="AN8" s="83"/>
      <c r="AO8" s="360"/>
      <c r="AP8" s="361"/>
      <c r="AQ8" s="361"/>
      <c r="AR8" s="361"/>
      <c r="AS8" s="361"/>
      <c r="AT8" s="362"/>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25">
      <c r="A9" s="83"/>
      <c r="B9" s="255"/>
      <c r="C9" s="255"/>
      <c r="D9" s="256"/>
      <c r="E9" s="354"/>
      <c r="F9" s="353"/>
      <c r="G9" s="353"/>
      <c r="H9" s="353"/>
      <c r="I9" s="369"/>
      <c r="J9" s="52" t="str">
        <f>IF(AND(academico!$Y$28="Muy Alta",academico!$AA$28="Leve"),CONCATENATE("R4C",academico!$O$28),"")</f>
        <v/>
      </c>
      <c r="K9" s="53" t="str">
        <f>IF(AND(academico!$Y$29="Muy Alta",academico!$AA$29="Leve"),CONCATENATE("R4C",academico!$O$29),"")</f>
        <v/>
      </c>
      <c r="L9" s="53" t="str">
        <f>IF(AND(academico!$Y$30="Muy Alta",academico!$AA$30="Leve"),CONCATENATE("R4C",academico!$O$30),"")</f>
        <v/>
      </c>
      <c r="M9" s="53" t="str">
        <f>IF(AND(academico!$Y$31="Muy Alta",academico!$AA$31="Leve"),CONCATENATE("R4C",academico!$O$31),"")</f>
        <v/>
      </c>
      <c r="N9" s="53" t="str">
        <f>IF(AND(academico!$Y$32="Muy Alta",academico!$AA$32="Leve"),CONCATENATE("R4C",academico!$O$32),"")</f>
        <v/>
      </c>
      <c r="O9" s="54" t="str">
        <f>IF(AND(academico!$Y$33="Muy Alta",academico!$AA$33="Leve"),CONCATENATE("R4C",academico!$O$33),"")</f>
        <v/>
      </c>
      <c r="P9" s="52" t="str">
        <f>IF(AND(academico!$Y$28="Muy Alta",academico!$AA$28="Menor"),CONCATENATE("R4C",academico!$O$28),"")</f>
        <v/>
      </c>
      <c r="Q9" s="53" t="str">
        <f>IF(AND(academico!$Y$29="Muy Alta",academico!$AA$29="Menor"),CONCATENATE("R4C",academico!$O$29),"")</f>
        <v/>
      </c>
      <c r="R9" s="53" t="str">
        <f>IF(AND(academico!$Y$30="Muy Alta",academico!$AA$30="Menor"),CONCATENATE("R4C",academico!$O$30),"")</f>
        <v/>
      </c>
      <c r="S9" s="53" t="str">
        <f>IF(AND(academico!$Y$31="Muy Alta",academico!$AA$31="Menor"),CONCATENATE("R4C",academico!$O$31),"")</f>
        <v/>
      </c>
      <c r="T9" s="53" t="str">
        <f>IF(AND(academico!$Y$32="Muy Alta",academico!$AA$32="Menor"),CONCATENATE("R4C",academico!$O$32),"")</f>
        <v/>
      </c>
      <c r="U9" s="54" t="str">
        <f>IF(AND(academico!$Y$33="Muy Alta",academico!$AA$33="Menor"),CONCATENATE("R4C",academico!$O$33),"")</f>
        <v/>
      </c>
      <c r="V9" s="52" t="str">
        <f>IF(AND(academico!$Y$28="Muy Alta",academico!$AA$28="Moderado"),CONCATENATE("R4C",academico!$O$28),"")</f>
        <v/>
      </c>
      <c r="W9" s="53" t="str">
        <f>IF(AND(academico!$Y$29="Muy Alta",academico!$AA$29="Moderado"),CONCATENATE("R4C",academico!$O$29),"")</f>
        <v/>
      </c>
      <c r="X9" s="53" t="str">
        <f>IF(AND(academico!$Y$30="Muy Alta",academico!$AA$30="Moderado"),CONCATENATE("R4C",academico!$O$30),"")</f>
        <v/>
      </c>
      <c r="Y9" s="53" t="str">
        <f>IF(AND(academico!$Y$31="Muy Alta",academico!$AA$31="Moderado"),CONCATENATE("R4C",academico!$O$31),"")</f>
        <v/>
      </c>
      <c r="Z9" s="53" t="str">
        <f>IF(AND(academico!$Y$32="Muy Alta",academico!$AA$32="Moderado"),CONCATENATE("R4C",academico!$O$32),"")</f>
        <v/>
      </c>
      <c r="AA9" s="54" t="str">
        <f>IF(AND(academico!$Y$33="Muy Alta",academico!$AA$33="Moderado"),CONCATENATE("R4C",academico!$O$33),"")</f>
        <v/>
      </c>
      <c r="AB9" s="52" t="str">
        <f>IF(AND(academico!$Y$28="Muy Alta",academico!$AA$28="Mayor"),CONCATENATE("R4C",academico!$O$28),"")</f>
        <v/>
      </c>
      <c r="AC9" s="53" t="str">
        <f>IF(AND(academico!$Y$29="Muy Alta",academico!$AA$29="Mayor"),CONCATENATE("R4C",academico!$O$29),"")</f>
        <v/>
      </c>
      <c r="AD9" s="53" t="str">
        <f>IF(AND(academico!$Y$30="Muy Alta",academico!$AA$30="Mayor"),CONCATENATE("R4C",academico!$O$30),"")</f>
        <v/>
      </c>
      <c r="AE9" s="53" t="str">
        <f>IF(AND(academico!$Y$31="Muy Alta",academico!$AA$31="Mayor"),CONCATENATE("R4C",academico!$O$31),"")</f>
        <v/>
      </c>
      <c r="AF9" s="53" t="str">
        <f>IF(AND(academico!$Y$32="Muy Alta",academico!$AA$32="Mayor"),CONCATENATE("R4C",academico!$O$32),"")</f>
        <v/>
      </c>
      <c r="AG9" s="54" t="str">
        <f>IF(AND(academico!$Y$33="Muy Alta",academico!$AA$33="Mayor"),CONCATENATE("R4C",academico!$O$33),"")</f>
        <v/>
      </c>
      <c r="AH9" s="55" t="str">
        <f>IF(AND(academico!$Y$28="Muy Alta",academico!$AA$28="Catastrófico"),CONCATENATE("R4C",academico!$O$28),"")</f>
        <v/>
      </c>
      <c r="AI9" s="56" t="str">
        <f>IF(AND(academico!$Y$29="Muy Alta",academico!$AA$29="Catastrófico"),CONCATENATE("R4C",academico!$O$29),"")</f>
        <v/>
      </c>
      <c r="AJ9" s="56" t="str">
        <f>IF(AND(academico!$Y$30="Muy Alta",academico!$AA$30="Catastrófico"),CONCATENATE("R4C",academico!$O$30),"")</f>
        <v/>
      </c>
      <c r="AK9" s="56" t="str">
        <f>IF(AND(academico!$Y$31="Muy Alta",academico!$AA$31="Catastrófico"),CONCATENATE("R4C",academico!$O$31),"")</f>
        <v/>
      </c>
      <c r="AL9" s="56" t="str">
        <f>IF(AND(academico!$Y$32="Muy Alta",academico!$AA$32="Catastrófico"),CONCATENATE("R4C",academico!$O$32),"")</f>
        <v/>
      </c>
      <c r="AM9" s="57" t="str">
        <f>IF(AND(academico!$Y$33="Muy Alta",academico!$AA$33="Catastrófico"),CONCATENATE("R4C",academico!$O$33),"")</f>
        <v/>
      </c>
      <c r="AN9" s="83"/>
      <c r="AO9" s="360"/>
      <c r="AP9" s="361"/>
      <c r="AQ9" s="361"/>
      <c r="AR9" s="361"/>
      <c r="AS9" s="361"/>
      <c r="AT9" s="362"/>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25">
      <c r="A10" s="83"/>
      <c r="B10" s="255"/>
      <c r="C10" s="255"/>
      <c r="D10" s="256"/>
      <c r="E10" s="354"/>
      <c r="F10" s="353"/>
      <c r="G10" s="353"/>
      <c r="H10" s="353"/>
      <c r="I10" s="369"/>
      <c r="J10" s="52" t="str">
        <f>IF(AND(academico!$Y$34="Muy Alta",academico!$AA$34="Leve"),CONCATENATE("R5C",academico!$O$34),"")</f>
        <v/>
      </c>
      <c r="K10" s="53" t="str">
        <f>IF(AND(academico!$Y$35="Muy Alta",academico!$AA$35="Leve"),CONCATENATE("R5C",academico!$O$35),"")</f>
        <v/>
      </c>
      <c r="L10" s="53" t="str">
        <f>IF(AND(academico!$Y$36="Muy Alta",academico!$AA$36="Leve"),CONCATENATE("R5C",academico!$O$36),"")</f>
        <v/>
      </c>
      <c r="M10" s="53" t="str">
        <f>IF(AND(academico!$Y$37="Muy Alta",academico!$AA$37="Leve"),CONCATENATE("R5C",academico!$O$37),"")</f>
        <v/>
      </c>
      <c r="N10" s="53" t="str">
        <f>IF(AND(academico!$Y$38="Muy Alta",academico!$AA$38="Leve"),CONCATENATE("R5C",academico!$O$38),"")</f>
        <v/>
      </c>
      <c r="O10" s="54" t="str">
        <f>IF(AND(academico!$Y$39="Muy Alta",academico!$AA$39="Leve"),CONCATENATE("R5C",academico!$O$39),"")</f>
        <v/>
      </c>
      <c r="P10" s="52" t="str">
        <f>IF(AND(academico!$Y$34="Muy Alta",academico!$AA$34="Menor"),CONCATENATE("R5C",academico!$O$34),"")</f>
        <v/>
      </c>
      <c r="Q10" s="53" t="str">
        <f>IF(AND(academico!$Y$35="Muy Alta",academico!$AA$35="Menor"),CONCATENATE("R5C",academico!$O$35),"")</f>
        <v/>
      </c>
      <c r="R10" s="53" t="str">
        <f>IF(AND(academico!$Y$36="Muy Alta",academico!$AA$36="Menor"),CONCATENATE("R5C",academico!$O$36),"")</f>
        <v/>
      </c>
      <c r="S10" s="53" t="str">
        <f>IF(AND(academico!$Y$37="Muy Alta",academico!$AA$37="Menor"),CONCATENATE("R5C",academico!$O$37),"")</f>
        <v/>
      </c>
      <c r="T10" s="53" t="str">
        <f>IF(AND(academico!$Y$38="Muy Alta",academico!$AA$38="Menor"),CONCATENATE("R5C",academico!$O$38),"")</f>
        <v/>
      </c>
      <c r="U10" s="54" t="str">
        <f>IF(AND(academico!$Y$39="Muy Alta",academico!$AA$39="Menor"),CONCATENATE("R5C",academico!$O$39),"")</f>
        <v/>
      </c>
      <c r="V10" s="52" t="str">
        <f>IF(AND(academico!$Y$34="Muy Alta",academico!$AA$34="Moderado"),CONCATENATE("R5C",academico!$O$34),"")</f>
        <v/>
      </c>
      <c r="W10" s="53" t="str">
        <f>IF(AND(academico!$Y$35="Muy Alta",academico!$AA$35="Moderado"),CONCATENATE("R5C",academico!$O$35),"")</f>
        <v/>
      </c>
      <c r="X10" s="53" t="str">
        <f>IF(AND(academico!$Y$36="Muy Alta",academico!$AA$36="Moderado"),CONCATENATE("R5C",academico!$O$36),"")</f>
        <v/>
      </c>
      <c r="Y10" s="53" t="str">
        <f>IF(AND(academico!$Y$37="Muy Alta",academico!$AA$37="Moderado"),CONCATENATE("R5C",academico!$O$37),"")</f>
        <v/>
      </c>
      <c r="Z10" s="53" t="str">
        <f>IF(AND(academico!$Y$38="Muy Alta",academico!$AA$38="Moderado"),CONCATENATE("R5C",academico!$O$38),"")</f>
        <v/>
      </c>
      <c r="AA10" s="54" t="str">
        <f>IF(AND(academico!$Y$39="Muy Alta",academico!$AA$39="Moderado"),CONCATENATE("R5C",academico!$O$39),"")</f>
        <v/>
      </c>
      <c r="AB10" s="52" t="str">
        <f>IF(AND(academico!$Y$34="Muy Alta",academico!$AA$34="Mayor"),CONCATENATE("R5C",academico!$O$34),"")</f>
        <v/>
      </c>
      <c r="AC10" s="53" t="str">
        <f>IF(AND(academico!$Y$35="Muy Alta",academico!$AA$35="Mayor"),CONCATENATE("R5C",academico!$O$35),"")</f>
        <v/>
      </c>
      <c r="AD10" s="53" t="str">
        <f>IF(AND(academico!$Y$36="Muy Alta",academico!$AA$36="Mayor"),CONCATENATE("R5C",academico!$O$36),"")</f>
        <v/>
      </c>
      <c r="AE10" s="53" t="str">
        <f>IF(AND(academico!$Y$37="Muy Alta",academico!$AA$37="Mayor"),CONCATENATE("R5C",academico!$O$37),"")</f>
        <v/>
      </c>
      <c r="AF10" s="53" t="str">
        <f>IF(AND(academico!$Y$38="Muy Alta",academico!$AA$38="Mayor"),CONCATENATE("R5C",academico!$O$38),"")</f>
        <v/>
      </c>
      <c r="AG10" s="54" t="str">
        <f>IF(AND(academico!$Y$39="Muy Alta",academico!$AA$39="Mayor"),CONCATENATE("R5C",academico!$O$39),"")</f>
        <v/>
      </c>
      <c r="AH10" s="55" t="str">
        <f>IF(AND(academico!$Y$34="Muy Alta",academico!$AA$34="Catastrófico"),CONCATENATE("R5C",academico!$O$34),"")</f>
        <v/>
      </c>
      <c r="AI10" s="56" t="str">
        <f>IF(AND(academico!$Y$35="Muy Alta",academico!$AA$35="Catastrófico"),CONCATENATE("R5C",academico!$O$35),"")</f>
        <v/>
      </c>
      <c r="AJ10" s="56" t="str">
        <f>IF(AND(academico!$Y$36="Muy Alta",academico!$AA$36="Catastrófico"),CONCATENATE("R5C",academico!$O$36),"")</f>
        <v/>
      </c>
      <c r="AK10" s="56" t="str">
        <f>IF(AND(academico!$Y$37="Muy Alta",academico!$AA$37="Catastrófico"),CONCATENATE("R5C",academico!$O$37),"")</f>
        <v/>
      </c>
      <c r="AL10" s="56" t="str">
        <f>IF(AND(academico!$Y$38="Muy Alta",academico!$AA$38="Catastrófico"),CONCATENATE("R5C",academico!$O$38),"")</f>
        <v/>
      </c>
      <c r="AM10" s="57" t="str">
        <f>IF(AND(academico!$Y$39="Muy Alta",academico!$AA$39="Catastrófico"),CONCATENATE("R5C",academico!$O$39),"")</f>
        <v/>
      </c>
      <c r="AN10" s="83"/>
      <c r="AO10" s="360"/>
      <c r="AP10" s="361"/>
      <c r="AQ10" s="361"/>
      <c r="AR10" s="361"/>
      <c r="AS10" s="361"/>
      <c r="AT10" s="362"/>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25">
      <c r="A11" s="83"/>
      <c r="B11" s="255"/>
      <c r="C11" s="255"/>
      <c r="D11" s="256"/>
      <c r="E11" s="354"/>
      <c r="F11" s="353"/>
      <c r="G11" s="353"/>
      <c r="H11" s="353"/>
      <c r="I11" s="369"/>
      <c r="J11" s="52" t="str">
        <f>IF(AND(academico!$Y$40="Muy Alta",academico!$AA$40="Leve"),CONCATENATE("R6C",academico!$O$40),"")</f>
        <v/>
      </c>
      <c r="K11" s="53" t="str">
        <f>IF(AND(academico!$Y$41="Muy Alta",academico!$AA$41="Leve"),CONCATENATE("R6C",academico!$O$41),"")</f>
        <v/>
      </c>
      <c r="L11" s="53" t="str">
        <f>IF(AND(academico!$Y$42="Muy Alta",academico!$AA$42="Leve"),CONCATENATE("R6C",academico!$O$42),"")</f>
        <v/>
      </c>
      <c r="M11" s="53" t="str">
        <f>IF(AND(academico!$Y$43="Muy Alta",academico!$AA$43="Leve"),CONCATENATE("R6C",academico!$O$43),"")</f>
        <v/>
      </c>
      <c r="N11" s="53" t="str">
        <f>IF(AND(academico!$Y$44="Muy Alta",academico!$AA$44="Leve"),CONCATENATE("R6C",academico!$O$44),"")</f>
        <v/>
      </c>
      <c r="O11" s="54" t="str">
        <f>IF(AND(academico!$Y$45="Muy Alta",academico!$AA$45="Leve"),CONCATENATE("R6C",academico!$O$45),"")</f>
        <v/>
      </c>
      <c r="P11" s="52" t="str">
        <f>IF(AND(academico!$Y$40="Muy Alta",academico!$AA$40="Menor"),CONCATENATE("R6C",academico!$O$40),"")</f>
        <v/>
      </c>
      <c r="Q11" s="53" t="str">
        <f>IF(AND(academico!$Y$41="Muy Alta",academico!$AA$41="Menor"),CONCATENATE("R6C",academico!$O$41),"")</f>
        <v/>
      </c>
      <c r="R11" s="53" t="str">
        <f>IF(AND(academico!$Y$42="Muy Alta",academico!$AA$42="Menor"),CONCATENATE("R6C",academico!$O$42),"")</f>
        <v/>
      </c>
      <c r="S11" s="53" t="str">
        <f>IF(AND(academico!$Y$43="Muy Alta",academico!$AA$43="Menor"),CONCATENATE("R6C",academico!$O$43),"")</f>
        <v/>
      </c>
      <c r="T11" s="53" t="str">
        <f>IF(AND(academico!$Y$44="Muy Alta",academico!$AA$44="Menor"),CONCATENATE("R6C",academico!$O$44),"")</f>
        <v/>
      </c>
      <c r="U11" s="54" t="str">
        <f>IF(AND(academico!$Y$45="Muy Alta",academico!$AA$45="Menor"),CONCATENATE("R6C",academico!$O$45),"")</f>
        <v/>
      </c>
      <c r="V11" s="52" t="str">
        <f>IF(AND(academico!$Y$40="Muy Alta",academico!$AA$40="Moderado"),CONCATENATE("R6C",academico!$O$40),"")</f>
        <v/>
      </c>
      <c r="W11" s="53" t="str">
        <f>IF(AND(academico!$Y$41="Muy Alta",academico!$AA$41="Moderado"),CONCATENATE("R6C",academico!$O$41),"")</f>
        <v/>
      </c>
      <c r="X11" s="53" t="str">
        <f>IF(AND(academico!$Y$42="Muy Alta",academico!$AA$42="Moderado"),CONCATENATE("R6C",academico!$O$42),"")</f>
        <v/>
      </c>
      <c r="Y11" s="53" t="str">
        <f>IF(AND(academico!$Y$43="Muy Alta",academico!$AA$43="Moderado"),CONCATENATE("R6C",academico!$O$43),"")</f>
        <v/>
      </c>
      <c r="Z11" s="53" t="str">
        <f>IF(AND(academico!$Y$44="Muy Alta",academico!$AA$44="Moderado"),CONCATENATE("R6C",academico!$O$44),"")</f>
        <v/>
      </c>
      <c r="AA11" s="54" t="str">
        <f>IF(AND(academico!$Y$45="Muy Alta",academico!$AA$45="Moderado"),CONCATENATE("R6C",academico!$O$45),"")</f>
        <v/>
      </c>
      <c r="AB11" s="52" t="str">
        <f>IF(AND(academico!$Y$40="Muy Alta",academico!$AA$40="Mayor"),CONCATENATE("R6C",academico!$O$40),"")</f>
        <v/>
      </c>
      <c r="AC11" s="53" t="str">
        <f>IF(AND(academico!$Y$41="Muy Alta",academico!$AA$41="Mayor"),CONCATENATE("R6C",academico!$O$41),"")</f>
        <v/>
      </c>
      <c r="AD11" s="53" t="str">
        <f>IF(AND(academico!$Y$42="Muy Alta",academico!$AA$42="Mayor"),CONCATENATE("R6C",academico!$O$42),"")</f>
        <v/>
      </c>
      <c r="AE11" s="53" t="str">
        <f>IF(AND(academico!$Y$43="Muy Alta",academico!$AA$43="Mayor"),CONCATENATE("R6C",academico!$O$43),"")</f>
        <v/>
      </c>
      <c r="AF11" s="53" t="str">
        <f>IF(AND(academico!$Y$44="Muy Alta",academico!$AA$44="Mayor"),CONCATENATE("R6C",academico!$O$44),"")</f>
        <v/>
      </c>
      <c r="AG11" s="54" t="str">
        <f>IF(AND(academico!$Y$45="Muy Alta",academico!$AA$45="Mayor"),CONCATENATE("R6C",academico!$O$45),"")</f>
        <v/>
      </c>
      <c r="AH11" s="55" t="str">
        <f>IF(AND(academico!$Y$40="Muy Alta",academico!$AA$40="Catastrófico"),CONCATENATE("R6C",academico!$O$40),"")</f>
        <v/>
      </c>
      <c r="AI11" s="56" t="str">
        <f>IF(AND(academico!$Y$41="Muy Alta",academico!$AA$41="Catastrófico"),CONCATENATE("R6C",academico!$O$41),"")</f>
        <v/>
      </c>
      <c r="AJ11" s="56" t="str">
        <f>IF(AND(academico!$Y$42="Muy Alta",academico!$AA$42="Catastrófico"),CONCATENATE("R6C",academico!$O$42),"")</f>
        <v/>
      </c>
      <c r="AK11" s="56" t="str">
        <f>IF(AND(academico!$Y$43="Muy Alta",academico!$AA$43="Catastrófico"),CONCATENATE("R6C",academico!$O$43),"")</f>
        <v/>
      </c>
      <c r="AL11" s="56" t="str">
        <f>IF(AND(academico!$Y$44="Muy Alta",academico!$AA$44="Catastrófico"),CONCATENATE("R6C",academico!$O$44),"")</f>
        <v/>
      </c>
      <c r="AM11" s="57" t="str">
        <f>IF(AND(academico!$Y$45="Muy Alta",academico!$AA$45="Catastrófico"),CONCATENATE("R6C",academico!$O$45),"")</f>
        <v/>
      </c>
      <c r="AN11" s="83"/>
      <c r="AO11" s="360"/>
      <c r="AP11" s="361"/>
      <c r="AQ11" s="361"/>
      <c r="AR11" s="361"/>
      <c r="AS11" s="361"/>
      <c r="AT11" s="362"/>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25">
      <c r="A12" s="83"/>
      <c r="B12" s="255"/>
      <c r="C12" s="255"/>
      <c r="D12" s="256"/>
      <c r="E12" s="354"/>
      <c r="F12" s="353"/>
      <c r="G12" s="353"/>
      <c r="H12" s="353"/>
      <c r="I12" s="369"/>
      <c r="J12" s="52" t="str">
        <f>IF(AND(academico!$Y$46="Muy Alta",academico!$AA$46="Leve"),CONCATENATE("R7C",academico!$O$46),"")</f>
        <v/>
      </c>
      <c r="K12" s="53" t="str">
        <f>IF(AND(academico!$Y$47="Muy Alta",academico!$AA$47="Leve"),CONCATENATE("R7C",academico!$O$47),"")</f>
        <v/>
      </c>
      <c r="L12" s="53" t="str">
        <f>IF(AND(academico!$Y$48="Muy Alta",academico!$AA$48="Leve"),CONCATENATE("R7C",academico!$O$48),"")</f>
        <v/>
      </c>
      <c r="M12" s="53" t="str">
        <f>IF(AND(academico!$Y$49="Muy Alta",academico!$AA$49="Leve"),CONCATENATE("R7C",academico!$O$49),"")</f>
        <v/>
      </c>
      <c r="N12" s="53" t="str">
        <f>IF(AND(academico!$Y$50="Muy Alta",academico!$AA$50="Leve"),CONCATENATE("R7C",academico!$O$50),"")</f>
        <v/>
      </c>
      <c r="O12" s="54" t="str">
        <f>IF(AND(academico!$Y$51="Muy Alta",academico!$AA$51="Leve"),CONCATENATE("R7C",academico!$O$51),"")</f>
        <v/>
      </c>
      <c r="P12" s="52" t="str">
        <f>IF(AND(academico!$Y$46="Muy Alta",academico!$AA$46="Menor"),CONCATENATE("R7C",academico!$O$46),"")</f>
        <v/>
      </c>
      <c r="Q12" s="53" t="str">
        <f>IF(AND(academico!$Y$47="Muy Alta",academico!$AA$47="Menor"),CONCATENATE("R7C",academico!$O$47),"")</f>
        <v/>
      </c>
      <c r="R12" s="53" t="str">
        <f>IF(AND(academico!$Y$48="Muy Alta",academico!$AA$48="Menor"),CONCATENATE("R7C",academico!$O$48),"")</f>
        <v/>
      </c>
      <c r="S12" s="53" t="str">
        <f>IF(AND(academico!$Y$49="Muy Alta",academico!$AA$49="Menor"),CONCATENATE("R7C",academico!$O$49),"")</f>
        <v/>
      </c>
      <c r="T12" s="53" t="str">
        <f>IF(AND(academico!$Y$50="Muy Alta",academico!$AA$50="Menor"),CONCATENATE("R7C",academico!$O$50),"")</f>
        <v/>
      </c>
      <c r="U12" s="54" t="str">
        <f>IF(AND(academico!$Y$51="Muy Alta",academico!$AA$51="Menor"),CONCATENATE("R7C",academico!$O$51),"")</f>
        <v/>
      </c>
      <c r="V12" s="52" t="str">
        <f>IF(AND(academico!$Y$46="Muy Alta",academico!$AA$46="Moderado"),CONCATENATE("R7C",academico!$O$46),"")</f>
        <v/>
      </c>
      <c r="W12" s="53" t="str">
        <f>IF(AND(academico!$Y$47="Muy Alta",academico!$AA$47="Moderado"),CONCATENATE("R7C",academico!$O$47),"")</f>
        <v/>
      </c>
      <c r="X12" s="53" t="str">
        <f>IF(AND(academico!$Y$48="Muy Alta",academico!$AA$48="Moderado"),CONCATENATE("R7C",academico!$O$48),"")</f>
        <v/>
      </c>
      <c r="Y12" s="53" t="str">
        <f>IF(AND(academico!$Y$49="Muy Alta",academico!$AA$49="Moderado"),CONCATENATE("R7C",academico!$O$49),"")</f>
        <v/>
      </c>
      <c r="Z12" s="53" t="str">
        <f>IF(AND(academico!$Y$50="Muy Alta",academico!$AA$50="Moderado"),CONCATENATE("R7C",academico!$O$50),"")</f>
        <v/>
      </c>
      <c r="AA12" s="54" t="str">
        <f>IF(AND(academico!$Y$51="Muy Alta",academico!$AA$51="Moderado"),CONCATENATE("R7C",academico!$O$51),"")</f>
        <v/>
      </c>
      <c r="AB12" s="52" t="str">
        <f>IF(AND(academico!$Y$46="Muy Alta",academico!$AA$46="Mayor"),CONCATENATE("R7C",academico!$O$46),"")</f>
        <v/>
      </c>
      <c r="AC12" s="53" t="str">
        <f>IF(AND(academico!$Y$47="Muy Alta",academico!$AA$47="Mayor"),CONCATENATE("R7C",academico!$O$47),"")</f>
        <v/>
      </c>
      <c r="AD12" s="53" t="str">
        <f>IF(AND(academico!$Y$48="Muy Alta",academico!$AA$48="Mayor"),CONCATENATE("R7C",academico!$O$48),"")</f>
        <v/>
      </c>
      <c r="AE12" s="53" t="str">
        <f>IF(AND(academico!$Y$49="Muy Alta",academico!$AA$49="Mayor"),CONCATENATE("R7C",academico!$O$49),"")</f>
        <v/>
      </c>
      <c r="AF12" s="53" t="str">
        <f>IF(AND(academico!$Y$50="Muy Alta",academico!$AA$50="Mayor"),CONCATENATE("R7C",academico!$O$50),"")</f>
        <v/>
      </c>
      <c r="AG12" s="54" t="str">
        <f>IF(AND(academico!$Y$51="Muy Alta",academico!$AA$51="Mayor"),CONCATENATE("R7C",academico!$O$51),"")</f>
        <v/>
      </c>
      <c r="AH12" s="55" t="str">
        <f>IF(AND(academico!$Y$46="Muy Alta",academico!$AA$46="Catastrófico"),CONCATENATE("R7C",academico!$O$46),"")</f>
        <v/>
      </c>
      <c r="AI12" s="56" t="str">
        <f>IF(AND(academico!$Y$47="Muy Alta",academico!$AA$47="Catastrófico"),CONCATENATE("R7C",academico!$O$47),"")</f>
        <v/>
      </c>
      <c r="AJ12" s="56" t="str">
        <f>IF(AND(academico!$Y$48="Muy Alta",academico!$AA$48="Catastrófico"),CONCATENATE("R7C",academico!$O$48),"")</f>
        <v/>
      </c>
      <c r="AK12" s="56" t="str">
        <f>IF(AND(academico!$Y$49="Muy Alta",academico!$AA$49="Catastrófico"),CONCATENATE("R7C",academico!$O$49),"")</f>
        <v/>
      </c>
      <c r="AL12" s="56" t="str">
        <f>IF(AND(academico!$Y$50="Muy Alta",academico!$AA$50="Catastrófico"),CONCATENATE("R7C",academico!$O$50),"")</f>
        <v/>
      </c>
      <c r="AM12" s="57" t="str">
        <f>IF(AND(academico!$Y$51="Muy Alta",academico!$AA$51="Catastrófico"),CONCATENATE("R7C",academico!$O$51),"")</f>
        <v/>
      </c>
      <c r="AN12" s="83"/>
      <c r="AO12" s="360"/>
      <c r="AP12" s="361"/>
      <c r="AQ12" s="361"/>
      <c r="AR12" s="361"/>
      <c r="AS12" s="361"/>
      <c r="AT12" s="362"/>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25">
      <c r="A13" s="83"/>
      <c r="B13" s="255"/>
      <c r="C13" s="255"/>
      <c r="D13" s="256"/>
      <c r="E13" s="354"/>
      <c r="F13" s="353"/>
      <c r="G13" s="353"/>
      <c r="H13" s="353"/>
      <c r="I13" s="369"/>
      <c r="J13" s="52" t="str">
        <f>IF(AND(academico!$Y$52="Muy Alta",academico!$AA$52="Leve"),CONCATENATE("R8C",academico!$O$52),"")</f>
        <v/>
      </c>
      <c r="K13" s="53" t="str">
        <f>IF(AND(academico!$Y$53="Muy Alta",academico!$AA$53="Leve"),CONCATENATE("R8C",academico!$O$53),"")</f>
        <v/>
      </c>
      <c r="L13" s="53" t="str">
        <f>IF(AND(academico!$Y$54="Muy Alta",academico!$AA$54="Leve"),CONCATENATE("R8C",academico!$O$54),"")</f>
        <v/>
      </c>
      <c r="M13" s="53" t="str">
        <f>IF(AND(academico!$Y$55="Muy Alta",academico!$AA$55="Leve"),CONCATENATE("R8C",academico!$O$55),"")</f>
        <v/>
      </c>
      <c r="N13" s="53" t="str">
        <f>IF(AND(academico!$Y$56="Muy Alta",academico!$AA$56="Leve"),CONCATENATE("R8C",academico!$O$56),"")</f>
        <v/>
      </c>
      <c r="O13" s="54" t="str">
        <f>IF(AND(academico!$Y$57="Muy Alta",academico!$AA$57="Leve"),CONCATENATE("R8C",academico!$O$57),"")</f>
        <v/>
      </c>
      <c r="P13" s="52" t="str">
        <f>IF(AND(academico!$Y$52="Muy Alta",academico!$AA$52="Menor"),CONCATENATE("R8C",academico!$O$52),"")</f>
        <v/>
      </c>
      <c r="Q13" s="53" t="str">
        <f>IF(AND(academico!$Y$53="Muy Alta",academico!$AA$53="Menor"),CONCATENATE("R8C",academico!$O$53),"")</f>
        <v/>
      </c>
      <c r="R13" s="53" t="str">
        <f>IF(AND(academico!$Y$54="Muy Alta",academico!$AA$54="Menor"),CONCATENATE("R8C",academico!$O$54),"")</f>
        <v/>
      </c>
      <c r="S13" s="53" t="str">
        <f>IF(AND(academico!$Y$55="Muy Alta",academico!$AA$55="Menor"),CONCATENATE("R8C",academico!$O$55),"")</f>
        <v/>
      </c>
      <c r="T13" s="53" t="str">
        <f>IF(AND(academico!$Y$56="Muy Alta",academico!$AA$56="Menor"),CONCATENATE("R8C",academico!$O$56),"")</f>
        <v/>
      </c>
      <c r="U13" s="54" t="str">
        <f>IF(AND(academico!$Y$57="Muy Alta",academico!$AA$57="Menor"),CONCATENATE("R8C",academico!$O$57),"")</f>
        <v/>
      </c>
      <c r="V13" s="52" t="str">
        <f>IF(AND(academico!$Y$52="Muy Alta",academico!$AA$52="Moderado"),CONCATENATE("R8C",academico!$O$52),"")</f>
        <v/>
      </c>
      <c r="W13" s="53" t="str">
        <f>IF(AND(academico!$Y$53="Muy Alta",academico!$AA$53="Moderado"),CONCATENATE("R8C",academico!$O$53),"")</f>
        <v/>
      </c>
      <c r="X13" s="53" t="str">
        <f>IF(AND(academico!$Y$54="Muy Alta",academico!$AA$54="Moderado"),CONCATENATE("R8C",academico!$O$54),"")</f>
        <v/>
      </c>
      <c r="Y13" s="53" t="str">
        <f>IF(AND(academico!$Y$55="Muy Alta",academico!$AA$55="Moderado"),CONCATENATE("R8C",academico!$O$55),"")</f>
        <v/>
      </c>
      <c r="Z13" s="53" t="str">
        <f>IF(AND(academico!$Y$56="Muy Alta",academico!$AA$56="Moderado"),CONCATENATE("R8C",academico!$O$56),"")</f>
        <v/>
      </c>
      <c r="AA13" s="54" t="str">
        <f>IF(AND(academico!$Y$57="Muy Alta",academico!$AA$57="Moderado"),CONCATENATE("R8C",academico!$O$57),"")</f>
        <v/>
      </c>
      <c r="AB13" s="52" t="str">
        <f>IF(AND(academico!$Y$52="Muy Alta",academico!$AA$52="Mayor"),CONCATENATE("R8C",academico!$O$52),"")</f>
        <v/>
      </c>
      <c r="AC13" s="53" t="str">
        <f>IF(AND(academico!$Y$53="Muy Alta",academico!$AA$53="Mayor"),CONCATENATE("R8C",academico!$O$53),"")</f>
        <v/>
      </c>
      <c r="AD13" s="53" t="str">
        <f>IF(AND(academico!$Y$54="Muy Alta",academico!$AA$54="Mayor"),CONCATENATE("R8C",academico!$O$54),"")</f>
        <v/>
      </c>
      <c r="AE13" s="53" t="str">
        <f>IF(AND(academico!$Y$55="Muy Alta",academico!$AA$55="Mayor"),CONCATENATE("R8C",academico!$O$55),"")</f>
        <v/>
      </c>
      <c r="AF13" s="53" t="str">
        <f>IF(AND(academico!$Y$56="Muy Alta",academico!$AA$56="Mayor"),CONCATENATE("R8C",academico!$O$56),"")</f>
        <v/>
      </c>
      <c r="AG13" s="54" t="str">
        <f>IF(AND(academico!$Y$57="Muy Alta",academico!$AA$57="Mayor"),CONCATENATE("R8C",academico!$O$57),"")</f>
        <v/>
      </c>
      <c r="AH13" s="55" t="str">
        <f>IF(AND(academico!$Y$52="Muy Alta",academico!$AA$52="Catastrófico"),CONCATENATE("R8C",academico!$O$52),"")</f>
        <v/>
      </c>
      <c r="AI13" s="56" t="str">
        <f>IF(AND(academico!$Y$53="Muy Alta",academico!$AA$53="Catastrófico"),CONCATENATE("R8C",academico!$O$53),"")</f>
        <v/>
      </c>
      <c r="AJ13" s="56" t="str">
        <f>IF(AND(academico!$Y$54="Muy Alta",academico!$AA$54="Catastrófico"),CONCATENATE("R8C",academico!$O$54),"")</f>
        <v/>
      </c>
      <c r="AK13" s="56" t="str">
        <f>IF(AND(academico!$Y$55="Muy Alta",academico!$AA$55="Catastrófico"),CONCATENATE("R8C",academico!$O$55),"")</f>
        <v/>
      </c>
      <c r="AL13" s="56" t="str">
        <f>IF(AND(academico!$Y$56="Muy Alta",academico!$AA$56="Catastrófico"),CONCATENATE("R8C",academico!$O$56),"")</f>
        <v/>
      </c>
      <c r="AM13" s="57" t="str">
        <f>IF(AND(academico!$Y$57="Muy Alta",academico!$AA$57="Catastrófico"),CONCATENATE("R8C",academico!$O$57),"")</f>
        <v/>
      </c>
      <c r="AN13" s="83"/>
      <c r="AO13" s="360"/>
      <c r="AP13" s="361"/>
      <c r="AQ13" s="361"/>
      <c r="AR13" s="361"/>
      <c r="AS13" s="361"/>
      <c r="AT13" s="362"/>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25">
      <c r="A14" s="83"/>
      <c r="B14" s="255"/>
      <c r="C14" s="255"/>
      <c r="D14" s="256"/>
      <c r="E14" s="354"/>
      <c r="F14" s="353"/>
      <c r="G14" s="353"/>
      <c r="H14" s="353"/>
      <c r="I14" s="369"/>
      <c r="J14" s="52" t="str">
        <f>IF(AND(academico!$Y$58="Muy Alta",academico!$AA$58="Leve"),CONCATENATE("R9C",academico!$O$58),"")</f>
        <v/>
      </c>
      <c r="K14" s="53" t="str">
        <f>IF(AND(academico!$Y$59="Muy Alta",academico!$AA$59="Leve"),CONCATENATE("R9C",academico!$O$59),"")</f>
        <v/>
      </c>
      <c r="L14" s="53" t="str">
        <f>IF(AND(academico!$Y$60="Muy Alta",academico!$AA$60="Leve"),CONCATENATE("R9C",academico!$O$60),"")</f>
        <v/>
      </c>
      <c r="M14" s="53" t="str">
        <f>IF(AND(academico!$Y$61="Muy Alta",academico!$AA$61="Leve"),CONCATENATE("R9C",academico!$O$61),"")</f>
        <v/>
      </c>
      <c r="N14" s="53" t="str">
        <f>IF(AND(academico!$Y$62="Muy Alta",academico!$AA$62="Leve"),CONCATENATE("R9C",academico!$O$62),"")</f>
        <v/>
      </c>
      <c r="O14" s="54" t="str">
        <f>IF(AND(academico!$Y$63="Muy Alta",academico!$AA$63="Leve"),CONCATENATE("R9C",academico!$O$63),"")</f>
        <v/>
      </c>
      <c r="P14" s="52" t="str">
        <f>IF(AND(academico!$Y$58="Muy Alta",academico!$AA$58="Menor"),CONCATENATE("R9C",academico!$O$58),"")</f>
        <v/>
      </c>
      <c r="Q14" s="53" t="str">
        <f>IF(AND(academico!$Y$59="Muy Alta",academico!$AA$59="Menor"),CONCATENATE("R9C",academico!$O$59),"")</f>
        <v/>
      </c>
      <c r="R14" s="53" t="str">
        <f>IF(AND(academico!$Y$60="Muy Alta",academico!$AA$60="Menor"),CONCATENATE("R9C",academico!$O$60),"")</f>
        <v/>
      </c>
      <c r="S14" s="53" t="str">
        <f>IF(AND(academico!$Y$61="Muy Alta",academico!$AA$61="Menor"),CONCATENATE("R9C",academico!$O$61),"")</f>
        <v/>
      </c>
      <c r="T14" s="53" t="str">
        <f>IF(AND(academico!$Y$62="Muy Alta",academico!$AA$62="Menor"),CONCATENATE("R9C",academico!$O$62),"")</f>
        <v/>
      </c>
      <c r="U14" s="54" t="str">
        <f>IF(AND(academico!$Y$63="Muy Alta",academico!$AA$63="Menor"),CONCATENATE("R9C",academico!$O$63),"")</f>
        <v/>
      </c>
      <c r="V14" s="52" t="str">
        <f>IF(AND(academico!$Y$58="Muy Alta",academico!$AA$58="Moderado"),CONCATENATE("R9C",academico!$O$58),"")</f>
        <v/>
      </c>
      <c r="W14" s="53" t="str">
        <f>IF(AND(academico!$Y$59="Muy Alta",academico!$AA$59="Moderado"),CONCATENATE("R9C",academico!$O$59),"")</f>
        <v/>
      </c>
      <c r="X14" s="53" t="str">
        <f>IF(AND(academico!$Y$60="Muy Alta",academico!$AA$60="Moderado"),CONCATENATE("R9C",academico!$O$60),"")</f>
        <v/>
      </c>
      <c r="Y14" s="53" t="str">
        <f>IF(AND(academico!$Y$61="Muy Alta",academico!$AA$61="Moderado"),CONCATENATE("R9C",academico!$O$61),"")</f>
        <v/>
      </c>
      <c r="Z14" s="53" t="str">
        <f>IF(AND(academico!$Y$62="Muy Alta",academico!$AA$62="Moderado"),CONCATENATE("R9C",academico!$O$62),"")</f>
        <v/>
      </c>
      <c r="AA14" s="54" t="str">
        <f>IF(AND(academico!$Y$63="Muy Alta",academico!$AA$63="Moderado"),CONCATENATE("R9C",academico!$O$63),"")</f>
        <v/>
      </c>
      <c r="AB14" s="52" t="str">
        <f>IF(AND(academico!$Y$58="Muy Alta",academico!$AA$58="Mayor"),CONCATENATE("R9C",academico!$O$58),"")</f>
        <v/>
      </c>
      <c r="AC14" s="53" t="str">
        <f>IF(AND(academico!$Y$59="Muy Alta",academico!$AA$59="Mayor"),CONCATENATE("R9C",academico!$O$59),"")</f>
        <v/>
      </c>
      <c r="AD14" s="53" t="str">
        <f>IF(AND(academico!$Y$60="Muy Alta",academico!$AA$60="Mayor"),CONCATENATE("R9C",academico!$O$60),"")</f>
        <v/>
      </c>
      <c r="AE14" s="53" t="str">
        <f>IF(AND(academico!$Y$61="Muy Alta",academico!$AA$61="Mayor"),CONCATENATE("R9C",academico!$O$61),"")</f>
        <v/>
      </c>
      <c r="AF14" s="53" t="str">
        <f>IF(AND(academico!$Y$62="Muy Alta",academico!$AA$62="Mayor"),CONCATENATE("R9C",academico!$O$62),"")</f>
        <v/>
      </c>
      <c r="AG14" s="54" t="str">
        <f>IF(AND(academico!$Y$63="Muy Alta",academico!$AA$63="Mayor"),CONCATENATE("R9C",academico!$O$63),"")</f>
        <v/>
      </c>
      <c r="AH14" s="55" t="str">
        <f>IF(AND(academico!$Y$58="Muy Alta",academico!$AA$58="Catastrófico"),CONCATENATE("R9C",academico!$O$58),"")</f>
        <v/>
      </c>
      <c r="AI14" s="56" t="str">
        <f>IF(AND(academico!$Y$59="Muy Alta",academico!$AA$59="Catastrófico"),CONCATENATE("R9C",academico!$O$59),"")</f>
        <v/>
      </c>
      <c r="AJ14" s="56" t="str">
        <f>IF(AND(academico!$Y$60="Muy Alta",academico!$AA$60="Catastrófico"),CONCATENATE("R9C",academico!$O$60),"")</f>
        <v/>
      </c>
      <c r="AK14" s="56" t="str">
        <f>IF(AND(academico!$Y$61="Muy Alta",academico!$AA$61="Catastrófico"),CONCATENATE("R9C",academico!$O$61),"")</f>
        <v/>
      </c>
      <c r="AL14" s="56" t="str">
        <f>IF(AND(academico!$Y$62="Muy Alta",academico!$AA$62="Catastrófico"),CONCATENATE("R9C",academico!$O$62),"")</f>
        <v/>
      </c>
      <c r="AM14" s="57" t="str">
        <f>IF(AND(academico!$Y$63="Muy Alta",academico!$AA$63="Catastrófico"),CONCATENATE("R9C",academico!$O$63),"")</f>
        <v/>
      </c>
      <c r="AN14" s="83"/>
      <c r="AO14" s="360"/>
      <c r="AP14" s="361"/>
      <c r="AQ14" s="361"/>
      <c r="AR14" s="361"/>
      <c r="AS14" s="361"/>
      <c r="AT14" s="362"/>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
      <c r="A15" s="83"/>
      <c r="B15" s="255"/>
      <c r="C15" s="255"/>
      <c r="D15" s="256"/>
      <c r="E15" s="355"/>
      <c r="F15" s="356"/>
      <c r="G15" s="356"/>
      <c r="H15" s="356"/>
      <c r="I15" s="370"/>
      <c r="J15" s="58" t="str">
        <f>IF(AND(academico!$Y$64="Muy Alta",academico!$AA$64="Leve"),CONCATENATE("R10C",academico!$O$64),"")</f>
        <v/>
      </c>
      <c r="K15" s="59" t="str">
        <f>IF(AND(academico!$Y$65="Muy Alta",academico!$AA$65="Leve"),CONCATENATE("R10C",academico!$O$65),"")</f>
        <v/>
      </c>
      <c r="L15" s="59" t="str">
        <f>IF(AND(academico!$Y$66="Muy Alta",academico!$AA$66="Leve"),CONCATENATE("R10C",academico!$O$66),"")</f>
        <v/>
      </c>
      <c r="M15" s="59" t="str">
        <f>IF(AND(academico!$Y$67="Muy Alta",academico!$AA$67="Leve"),CONCATENATE("R10C",academico!$O$67),"")</f>
        <v/>
      </c>
      <c r="N15" s="59" t="str">
        <f>IF(AND(academico!$Y$68="Muy Alta",academico!$AA$68="Leve"),CONCATENATE("R10C",academico!$O$68),"")</f>
        <v/>
      </c>
      <c r="O15" s="60" t="str">
        <f>IF(AND(academico!$Y$69="Muy Alta",academico!$AA$69="Leve"),CONCATENATE("R10C",academico!$O$69),"")</f>
        <v/>
      </c>
      <c r="P15" s="52" t="str">
        <f>IF(AND(academico!$Y$64="Muy Alta",academico!$AA$64="Menor"),CONCATENATE("R10C",academico!$O$64),"")</f>
        <v/>
      </c>
      <c r="Q15" s="53" t="str">
        <f>IF(AND(academico!$Y$65="Muy Alta",academico!$AA$65="Menor"),CONCATENATE("R10C",academico!$O$65),"")</f>
        <v/>
      </c>
      <c r="R15" s="53" t="str">
        <f>IF(AND(academico!$Y$66="Muy Alta",academico!$AA$66="Menor"),CONCATENATE("R10C",academico!$O$66),"")</f>
        <v/>
      </c>
      <c r="S15" s="53" t="str">
        <f>IF(AND(academico!$Y$67="Muy Alta",academico!$AA$67="Menor"),CONCATENATE("R10C",academico!$O$67),"")</f>
        <v/>
      </c>
      <c r="T15" s="53" t="str">
        <f>IF(AND(academico!$Y$68="Muy Alta",academico!$AA$68="Menor"),CONCATENATE("R10C",academico!$O$68),"")</f>
        <v/>
      </c>
      <c r="U15" s="54" t="str">
        <f>IF(AND(academico!$Y$69="Muy Alta",academico!$AA$69="Menor"),CONCATENATE("R10C",academico!$O$69),"")</f>
        <v/>
      </c>
      <c r="V15" s="58" t="str">
        <f>IF(AND(academico!$Y$64="Muy Alta",academico!$AA$64="Moderado"),CONCATENATE("R10C",academico!$O$64),"")</f>
        <v/>
      </c>
      <c r="W15" s="59" t="str">
        <f>IF(AND(academico!$Y$65="Muy Alta",academico!$AA$65="Moderado"),CONCATENATE("R10C",academico!$O$65),"")</f>
        <v/>
      </c>
      <c r="X15" s="59" t="str">
        <f>IF(AND(academico!$Y$66="Muy Alta",academico!$AA$66="Moderado"),CONCATENATE("R10C",academico!$O$66),"")</f>
        <v/>
      </c>
      <c r="Y15" s="59" t="str">
        <f>IF(AND(academico!$Y$67="Muy Alta",academico!$AA$67="Moderado"),CONCATENATE("R10C",academico!$O$67),"")</f>
        <v/>
      </c>
      <c r="Z15" s="59" t="str">
        <f>IF(AND(academico!$Y$68="Muy Alta",academico!$AA$68="Moderado"),CONCATENATE("R10C",academico!$O$68),"")</f>
        <v/>
      </c>
      <c r="AA15" s="60" t="str">
        <f>IF(AND(academico!$Y$69="Muy Alta",academico!$AA$69="Moderado"),CONCATENATE("R10C",academico!$O$69),"")</f>
        <v/>
      </c>
      <c r="AB15" s="52" t="str">
        <f>IF(AND(academico!$Y$64="Muy Alta",academico!$AA$64="Mayor"),CONCATENATE("R10C",academico!$O$64),"")</f>
        <v/>
      </c>
      <c r="AC15" s="53" t="str">
        <f>IF(AND(academico!$Y$65="Muy Alta",academico!$AA$65="Mayor"),CONCATENATE("R10C",academico!$O$65),"")</f>
        <v/>
      </c>
      <c r="AD15" s="53" t="str">
        <f>IF(AND(academico!$Y$66="Muy Alta",academico!$AA$66="Mayor"),CONCATENATE("R10C",academico!$O$66),"")</f>
        <v/>
      </c>
      <c r="AE15" s="53" t="str">
        <f>IF(AND(academico!$Y$67="Muy Alta",academico!$AA$67="Mayor"),CONCATENATE("R10C",academico!$O$67),"")</f>
        <v/>
      </c>
      <c r="AF15" s="53" t="str">
        <f>IF(AND(academico!$Y$68="Muy Alta",academico!$AA$68="Mayor"),CONCATENATE("R10C",academico!$O$68),"")</f>
        <v/>
      </c>
      <c r="AG15" s="54" t="str">
        <f>IF(AND(academico!$Y$69="Muy Alta",academico!$AA$69="Mayor"),CONCATENATE("R10C",academico!$O$69),"")</f>
        <v/>
      </c>
      <c r="AH15" s="61" t="str">
        <f>IF(AND(academico!$Y$64="Muy Alta",academico!$AA$64="Catastrófico"),CONCATENATE("R10C",academico!$O$64),"")</f>
        <v/>
      </c>
      <c r="AI15" s="62" t="str">
        <f>IF(AND(academico!$Y$65="Muy Alta",academico!$AA$65="Catastrófico"),CONCATENATE("R10C",academico!$O$65),"")</f>
        <v/>
      </c>
      <c r="AJ15" s="62" t="str">
        <f>IF(AND(academico!$Y$66="Muy Alta",academico!$AA$66="Catastrófico"),CONCATENATE("R10C",academico!$O$66),"")</f>
        <v/>
      </c>
      <c r="AK15" s="62" t="str">
        <f>IF(AND(academico!$Y$67="Muy Alta",academico!$AA$67="Catastrófico"),CONCATENATE("R10C",academico!$O$67),"")</f>
        <v/>
      </c>
      <c r="AL15" s="62" t="str">
        <f>IF(AND(academico!$Y$68="Muy Alta",academico!$AA$68="Catastrófico"),CONCATENATE("R10C",academico!$O$68),"")</f>
        <v/>
      </c>
      <c r="AM15" s="63" t="str">
        <f>IF(AND(academico!$Y$69="Muy Alta",academico!$AA$69="Catastrófico"),CONCATENATE("R10C",academico!$O$69),"")</f>
        <v/>
      </c>
      <c r="AN15" s="83"/>
      <c r="AO15" s="363"/>
      <c r="AP15" s="364"/>
      <c r="AQ15" s="364"/>
      <c r="AR15" s="364"/>
      <c r="AS15" s="364"/>
      <c r="AT15" s="365"/>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25">
      <c r="A16" s="83"/>
      <c r="B16" s="255"/>
      <c r="C16" s="255"/>
      <c r="D16" s="256"/>
      <c r="E16" s="350" t="s">
        <v>115</v>
      </c>
      <c r="F16" s="351"/>
      <c r="G16" s="351"/>
      <c r="H16" s="351"/>
      <c r="I16" s="351"/>
      <c r="J16" s="64" t="str">
        <f ca="1">IF(AND(academico!$Y$10="Alta",academico!$AA$10="Leve"),CONCATENATE("R1C",academico!$O$10),"")</f>
        <v/>
      </c>
      <c r="K16" s="65" t="str">
        <f ca="1">IF(AND(academico!$Y$11="Alta",academico!$AA$11="Leve"),CONCATENATE("R1C",academico!$O$11),"")</f>
        <v/>
      </c>
      <c r="L16" s="65" t="str">
        <f>IF(AND(academico!$Y$12="Alta",academico!$AA$12="Leve"),CONCATENATE("R1C",academico!$O$12),"")</f>
        <v/>
      </c>
      <c r="M16" s="65" t="str">
        <f>IF(AND(academico!$Y$13="Alta",academico!$AA$13="Leve"),CONCATENATE("R1C",academico!$O$13),"")</f>
        <v/>
      </c>
      <c r="N16" s="65" t="str">
        <f>IF(AND(academico!$Y$14="Alta",academico!$AA$14="Leve"),CONCATENATE("R1C",academico!$O$14),"")</f>
        <v/>
      </c>
      <c r="O16" s="66" t="str">
        <f>IF(AND(academico!$Y$15="Alta",academico!$AA$15="Leve"),CONCATENATE("R1C",academico!$O$15),"")</f>
        <v/>
      </c>
      <c r="P16" s="64" t="str">
        <f ca="1">IF(AND(academico!$Y$10="Alta",academico!$AA$10="Menor"),CONCATENATE("R1C",academico!$O$10),"")</f>
        <v/>
      </c>
      <c r="Q16" s="65" t="str">
        <f ca="1">IF(AND(academico!$Y$11="Alta",academico!$AA$11="Menor"),CONCATENATE("R1C",academico!$O$11),"")</f>
        <v/>
      </c>
      <c r="R16" s="65" t="str">
        <f>IF(AND(academico!$Y$12="Alta",academico!$AA$12="Menor"),CONCATENATE("R1C",academico!$O$12),"")</f>
        <v/>
      </c>
      <c r="S16" s="65" t="str">
        <f>IF(AND(academico!$Y$13="Alta",academico!$AA$13="Menor"),CONCATENATE("R1C",academico!$O$13),"")</f>
        <v/>
      </c>
      <c r="T16" s="65" t="str">
        <f>IF(AND(academico!$Y$14="Alta",academico!$AA$14="Menor"),CONCATENATE("R1C",academico!$O$14),"")</f>
        <v/>
      </c>
      <c r="U16" s="66" t="str">
        <f>IF(AND(academico!$Y$15="Alta",academico!$AA$15="Menor"),CONCATENATE("R1C",academico!$O$15),"")</f>
        <v/>
      </c>
      <c r="V16" s="46" t="str">
        <f ca="1">IF(AND(academico!$Y$10="Alta",academico!$AA$10="Moderado"),CONCATENATE("R1C",academico!$O$10),"")</f>
        <v/>
      </c>
      <c r="W16" s="47" t="str">
        <f ca="1">IF(AND(academico!$Y$11="Alta",academico!$AA$11="Moderado"),CONCATENATE("R1C",academico!$O$11),"")</f>
        <v/>
      </c>
      <c r="X16" s="47" t="str">
        <f>IF(AND(academico!$Y$12="Alta",academico!$AA$12="Moderado"),CONCATENATE("R1C",academico!$O$12),"")</f>
        <v/>
      </c>
      <c r="Y16" s="47" t="str">
        <f>IF(AND(academico!$Y$13="Alta",academico!$AA$13="Moderado"),CONCATENATE("R1C",academico!$O$13),"")</f>
        <v/>
      </c>
      <c r="Z16" s="47" t="str">
        <f>IF(AND(academico!$Y$14="Alta",academico!$AA$14="Moderado"),CONCATENATE("R1C",academico!$O$14),"")</f>
        <v/>
      </c>
      <c r="AA16" s="48" t="str">
        <f>IF(AND(academico!$Y$15="Alta",academico!$AA$15="Moderado"),CONCATENATE("R1C",academico!$O$15),"")</f>
        <v/>
      </c>
      <c r="AB16" s="46" t="str">
        <f ca="1">IF(AND(academico!$Y$10="Alta",academico!$AA$10="Mayor"),CONCATENATE("R1C",academico!$O$10),"")</f>
        <v/>
      </c>
      <c r="AC16" s="47" t="str">
        <f ca="1">IF(AND(academico!$Y$11="Alta",academico!$AA$11="Mayor"),CONCATENATE("R1C",academico!$O$11),"")</f>
        <v/>
      </c>
      <c r="AD16" s="47" t="str">
        <f>IF(AND(academico!$Y$12="Alta",academico!$AA$12="Mayor"),CONCATENATE("R1C",academico!$O$12),"")</f>
        <v/>
      </c>
      <c r="AE16" s="47" t="str">
        <f>IF(AND(academico!$Y$13="Alta",academico!$AA$13="Mayor"),CONCATENATE("R1C",academico!$O$13),"")</f>
        <v/>
      </c>
      <c r="AF16" s="47" t="str">
        <f>IF(AND(academico!$Y$14="Alta",academico!$AA$14="Mayor"),CONCATENATE("R1C",academico!$O$14),"")</f>
        <v/>
      </c>
      <c r="AG16" s="48" t="str">
        <f>IF(AND(academico!$Y$15="Alta",academico!$AA$15="Mayor"),CONCATENATE("R1C",academico!$O$15),"")</f>
        <v/>
      </c>
      <c r="AH16" s="49" t="str">
        <f ca="1">IF(AND(academico!$Y$10="Alta",academico!$AA$10="Catastrófico"),CONCATENATE("R1C",academico!$O$10),"")</f>
        <v/>
      </c>
      <c r="AI16" s="50" t="str">
        <f ca="1">IF(AND(academico!$Y$11="Alta",academico!$AA$11="Catastrófico"),CONCATENATE("R1C",academico!$O$11),"")</f>
        <v/>
      </c>
      <c r="AJ16" s="50" t="str">
        <f>IF(AND(academico!$Y$12="Alta",academico!$AA$12="Catastrófico"),CONCATENATE("R1C",academico!$O$12),"")</f>
        <v/>
      </c>
      <c r="AK16" s="50" t="str">
        <f>IF(AND(academico!$Y$13="Alta",academico!$AA$13="Catastrófico"),CONCATENATE("R1C",academico!$O$13),"")</f>
        <v/>
      </c>
      <c r="AL16" s="50" t="str">
        <f>IF(AND(academico!$Y$14="Alta",academico!$AA$14="Catastrófico"),CONCATENATE("R1C",academico!$O$14),"")</f>
        <v/>
      </c>
      <c r="AM16" s="51" t="str">
        <f>IF(AND(academico!$Y$15="Alta",academico!$AA$15="Catastrófico"),CONCATENATE("R1C",academico!$O$15),"")</f>
        <v/>
      </c>
      <c r="AN16" s="83"/>
      <c r="AO16" s="341" t="s">
        <v>80</v>
      </c>
      <c r="AP16" s="342"/>
      <c r="AQ16" s="342"/>
      <c r="AR16" s="342"/>
      <c r="AS16" s="342"/>
      <c r="AT16" s="34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25">
      <c r="A17" s="83"/>
      <c r="B17" s="255"/>
      <c r="C17" s="255"/>
      <c r="D17" s="256"/>
      <c r="E17" s="352"/>
      <c r="F17" s="353"/>
      <c r="G17" s="353"/>
      <c r="H17" s="353"/>
      <c r="I17" s="353"/>
      <c r="J17" s="67" t="str">
        <f>IF(AND(academico!$Y$16="Alta",academico!$AA$16="Leve"),CONCATENATE("R2C",academico!$O$16),"")</f>
        <v/>
      </c>
      <c r="K17" s="68" t="str">
        <f>IF(AND(academico!$Y$17="Alta",academico!$AA$17="Leve"),CONCATENATE("R2C",academico!$O$17),"")</f>
        <v/>
      </c>
      <c r="L17" s="68" t="str">
        <f>IF(AND(academico!$Y$18="Alta",academico!$AA$18="Leve"),CONCATENATE("R2C",academico!$O$18),"")</f>
        <v/>
      </c>
      <c r="M17" s="68" t="str">
        <f>IF(AND(academico!$Y$19="Alta",academico!$AA$19="Leve"),CONCATENATE("R2C",academico!$O$19),"")</f>
        <v/>
      </c>
      <c r="N17" s="68" t="str">
        <f>IF(AND(academico!$Y$20="Alta",academico!$AA$20="Leve"),CONCATENATE("R2C",academico!$O$20),"")</f>
        <v/>
      </c>
      <c r="O17" s="69" t="str">
        <f>IF(AND(academico!$Y$21="Alta",academico!$AA$21="Leve"),CONCATENATE("R2C",academico!$O$21),"")</f>
        <v/>
      </c>
      <c r="P17" s="67" t="str">
        <f>IF(AND(academico!$Y$16="Alta",academico!$AA$16="Menor"),CONCATENATE("R2C",academico!$O$16),"")</f>
        <v/>
      </c>
      <c r="Q17" s="68" t="str">
        <f>IF(AND(academico!$Y$17="Alta",academico!$AA$17="Menor"),CONCATENATE("R2C",academico!$O$17),"")</f>
        <v/>
      </c>
      <c r="R17" s="68" t="str">
        <f>IF(AND(academico!$Y$18="Alta",academico!$AA$18="Menor"),CONCATENATE("R2C",academico!$O$18),"")</f>
        <v/>
      </c>
      <c r="S17" s="68" t="str">
        <f>IF(AND(academico!$Y$19="Alta",academico!$AA$19="Menor"),CONCATENATE("R2C",academico!$O$19),"")</f>
        <v/>
      </c>
      <c r="T17" s="68" t="str">
        <f>IF(AND(academico!$Y$20="Alta",academico!$AA$20="Menor"),CONCATENATE("R2C",academico!$O$20),"")</f>
        <v/>
      </c>
      <c r="U17" s="69" t="str">
        <f>IF(AND(academico!$Y$21="Alta",academico!$AA$21="Menor"),CONCATENATE("R2C",academico!$O$21),"")</f>
        <v/>
      </c>
      <c r="V17" s="52" t="str">
        <f>IF(AND(academico!$Y$16="Alta",academico!$AA$16="Moderado"),CONCATENATE("R2C",academico!$O$16),"")</f>
        <v/>
      </c>
      <c r="W17" s="53" t="str">
        <f>IF(AND(academico!$Y$17="Alta",academico!$AA$17="Moderado"),CONCATENATE("R2C",academico!$O$17),"")</f>
        <v/>
      </c>
      <c r="X17" s="53" t="str">
        <f>IF(AND(academico!$Y$18="Alta",academico!$AA$18="Moderado"),CONCATENATE("R2C",academico!$O$18),"")</f>
        <v/>
      </c>
      <c r="Y17" s="53" t="str">
        <f>IF(AND(academico!$Y$19="Alta",academico!$AA$19="Moderado"),CONCATENATE("R2C",academico!$O$19),"")</f>
        <v/>
      </c>
      <c r="Z17" s="53" t="str">
        <f>IF(AND(academico!$Y$20="Alta",academico!$AA$20="Moderado"),CONCATENATE("R2C",academico!$O$20),"")</f>
        <v/>
      </c>
      <c r="AA17" s="54" t="str">
        <f>IF(AND(academico!$Y$21="Alta",academico!$AA$21="Moderado"),CONCATENATE("R2C",academico!$O$21),"")</f>
        <v/>
      </c>
      <c r="AB17" s="52" t="str">
        <f>IF(AND(academico!$Y$16="Alta",academico!$AA$16="Mayor"),CONCATENATE("R2C",academico!$O$16),"")</f>
        <v/>
      </c>
      <c r="AC17" s="53" t="str">
        <f>IF(AND(academico!$Y$17="Alta",academico!$AA$17="Mayor"),CONCATENATE("R2C",academico!$O$17),"")</f>
        <v/>
      </c>
      <c r="AD17" s="53" t="str">
        <f>IF(AND(academico!$Y$18="Alta",academico!$AA$18="Mayor"),CONCATENATE("R2C",academico!$O$18),"")</f>
        <v/>
      </c>
      <c r="AE17" s="53" t="str">
        <f>IF(AND(academico!$Y$19="Alta",academico!$AA$19="Mayor"),CONCATENATE("R2C",academico!$O$19),"")</f>
        <v/>
      </c>
      <c r="AF17" s="53" t="str">
        <f>IF(AND(academico!$Y$20="Alta",academico!$AA$20="Mayor"),CONCATENATE("R2C",academico!$O$20),"")</f>
        <v/>
      </c>
      <c r="AG17" s="54" t="str">
        <f>IF(AND(academico!$Y$21="Alta",academico!$AA$21="Mayor"),CONCATENATE("R2C",academico!$O$21),"")</f>
        <v/>
      </c>
      <c r="AH17" s="55" t="str">
        <f>IF(AND(academico!$Y$16="Alta",academico!$AA$16="Catastrófico"),CONCATENATE("R2C",academico!$O$16),"")</f>
        <v/>
      </c>
      <c r="AI17" s="56" t="str">
        <f>IF(AND(academico!$Y$17="Alta",academico!$AA$17="Catastrófico"),CONCATENATE("R2C",academico!$O$17),"")</f>
        <v/>
      </c>
      <c r="AJ17" s="56" t="str">
        <f>IF(AND(academico!$Y$18="Alta",academico!$AA$18="Catastrófico"),CONCATENATE("R2C",academico!$O$18),"")</f>
        <v/>
      </c>
      <c r="AK17" s="56" t="str">
        <f>IF(AND(academico!$Y$19="Alta",academico!$AA$19="Catastrófico"),CONCATENATE("R2C",academico!$O$19),"")</f>
        <v/>
      </c>
      <c r="AL17" s="56" t="str">
        <f>IF(AND(academico!$Y$20="Alta",academico!$AA$20="Catastrófico"),CONCATENATE("R2C",academico!$O$20),"")</f>
        <v/>
      </c>
      <c r="AM17" s="57" t="str">
        <f>IF(AND(academico!$Y$21="Alta",academico!$AA$21="Catastrófico"),CONCATENATE("R2C",academico!$O$21),"")</f>
        <v/>
      </c>
      <c r="AN17" s="83"/>
      <c r="AO17" s="344"/>
      <c r="AP17" s="345"/>
      <c r="AQ17" s="345"/>
      <c r="AR17" s="345"/>
      <c r="AS17" s="345"/>
      <c r="AT17" s="346"/>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25">
      <c r="A18" s="83"/>
      <c r="B18" s="255"/>
      <c r="C18" s="255"/>
      <c r="D18" s="256"/>
      <c r="E18" s="354"/>
      <c r="F18" s="353"/>
      <c r="G18" s="353"/>
      <c r="H18" s="353"/>
      <c r="I18" s="353"/>
      <c r="J18" s="67" t="str">
        <f>IF(AND(academico!$Y$22="Alta",academico!$AA$22="Leve"),CONCATENATE("R3C",academico!$O$22),"")</f>
        <v/>
      </c>
      <c r="K18" s="68" t="str">
        <f>IF(AND(academico!$Y$23="Alta",academico!$AA$23="Leve"),CONCATENATE("R3C",academico!$O$23),"")</f>
        <v/>
      </c>
      <c r="L18" s="68" t="str">
        <f>IF(AND(academico!$Y$24="Alta",academico!$AA$24="Leve"),CONCATENATE("R3C",academico!$O$24),"")</f>
        <v/>
      </c>
      <c r="M18" s="68" t="str">
        <f>IF(AND(academico!$Y$25="Alta",academico!$AA$25="Leve"),CONCATENATE("R3C",academico!$O$25),"")</f>
        <v/>
      </c>
      <c r="N18" s="68" t="str">
        <f>IF(AND(academico!$Y$26="Alta",academico!$AA$26="Leve"),CONCATENATE("R3C",academico!$O$26),"")</f>
        <v/>
      </c>
      <c r="O18" s="69" t="str">
        <f>IF(AND(academico!$Y$27="Alta",academico!$AA$27="Leve"),CONCATENATE("R3C",academico!$O$27),"")</f>
        <v/>
      </c>
      <c r="P18" s="67" t="str">
        <f>IF(AND(academico!$Y$22="Alta",academico!$AA$22="Menor"),CONCATENATE("R3C",academico!$O$22),"")</f>
        <v/>
      </c>
      <c r="Q18" s="68" t="str">
        <f>IF(AND(academico!$Y$23="Alta",academico!$AA$23="Menor"),CONCATENATE("R3C",academico!$O$23),"")</f>
        <v/>
      </c>
      <c r="R18" s="68" t="str">
        <f>IF(AND(academico!$Y$24="Alta",academico!$AA$24="Menor"),CONCATENATE("R3C",academico!$O$24),"")</f>
        <v/>
      </c>
      <c r="S18" s="68" t="str">
        <f>IF(AND(academico!$Y$25="Alta",academico!$AA$25="Menor"),CONCATENATE("R3C",academico!$O$25),"")</f>
        <v/>
      </c>
      <c r="T18" s="68" t="str">
        <f>IF(AND(academico!$Y$26="Alta",academico!$AA$26="Menor"),CONCATENATE("R3C",academico!$O$26),"")</f>
        <v/>
      </c>
      <c r="U18" s="69" t="str">
        <f>IF(AND(academico!$Y$27="Alta",academico!$AA$27="Menor"),CONCATENATE("R3C",academico!$O$27),"")</f>
        <v/>
      </c>
      <c r="V18" s="52" t="str">
        <f>IF(AND(academico!$Y$22="Alta",academico!$AA$22="Moderado"),CONCATENATE("R3C",academico!$O$22),"")</f>
        <v/>
      </c>
      <c r="W18" s="53" t="str">
        <f>IF(AND(academico!$Y$23="Alta",academico!$AA$23="Moderado"),CONCATENATE("R3C",academico!$O$23),"")</f>
        <v/>
      </c>
      <c r="X18" s="53" t="str">
        <f>IF(AND(academico!$Y$24="Alta",academico!$AA$24="Moderado"),CONCATENATE("R3C",academico!$O$24),"")</f>
        <v/>
      </c>
      <c r="Y18" s="53" t="str">
        <f>IF(AND(academico!$Y$25="Alta",academico!$AA$25="Moderado"),CONCATENATE("R3C",academico!$O$25),"")</f>
        <v/>
      </c>
      <c r="Z18" s="53" t="str">
        <f>IF(AND(academico!$Y$26="Alta",academico!$AA$26="Moderado"),CONCATENATE("R3C",academico!$O$26),"")</f>
        <v/>
      </c>
      <c r="AA18" s="54" t="str">
        <f>IF(AND(academico!$Y$27="Alta",academico!$AA$27="Moderado"),CONCATENATE("R3C",academico!$O$27),"")</f>
        <v/>
      </c>
      <c r="AB18" s="52" t="str">
        <f>IF(AND(academico!$Y$22="Alta",academico!$AA$22="Mayor"),CONCATENATE("R3C",academico!$O$22),"")</f>
        <v/>
      </c>
      <c r="AC18" s="53" t="str">
        <f>IF(AND(academico!$Y$23="Alta",academico!$AA$23="Mayor"),CONCATENATE("R3C",academico!$O$23),"")</f>
        <v/>
      </c>
      <c r="AD18" s="53" t="str">
        <f>IF(AND(academico!$Y$24="Alta",academico!$AA$24="Mayor"),CONCATENATE("R3C",academico!$O$24),"")</f>
        <v/>
      </c>
      <c r="AE18" s="53" t="str">
        <f>IF(AND(academico!$Y$25="Alta",academico!$AA$25="Mayor"),CONCATENATE("R3C",academico!$O$25),"")</f>
        <v/>
      </c>
      <c r="AF18" s="53" t="str">
        <f>IF(AND(academico!$Y$26="Alta",academico!$AA$26="Mayor"),CONCATENATE("R3C",academico!$O$26),"")</f>
        <v/>
      </c>
      <c r="AG18" s="54" t="str">
        <f>IF(AND(academico!$Y$27="Alta",academico!$AA$27="Mayor"),CONCATENATE("R3C",academico!$O$27),"")</f>
        <v/>
      </c>
      <c r="AH18" s="55" t="str">
        <f>IF(AND(academico!$Y$22="Alta",academico!$AA$22="Catastrófico"),CONCATENATE("R3C",academico!$O$22),"")</f>
        <v/>
      </c>
      <c r="AI18" s="56" t="str">
        <f>IF(AND(academico!$Y$23="Alta",academico!$AA$23="Catastrófico"),CONCATENATE("R3C",academico!$O$23),"")</f>
        <v/>
      </c>
      <c r="AJ18" s="56" t="str">
        <f>IF(AND(academico!$Y$24="Alta",academico!$AA$24="Catastrófico"),CONCATENATE("R3C",academico!$O$24),"")</f>
        <v/>
      </c>
      <c r="AK18" s="56" t="str">
        <f>IF(AND(academico!$Y$25="Alta",academico!$AA$25="Catastrófico"),CONCATENATE("R3C",academico!$O$25),"")</f>
        <v/>
      </c>
      <c r="AL18" s="56" t="str">
        <f>IF(AND(academico!$Y$26="Alta",academico!$AA$26="Catastrófico"),CONCATENATE("R3C",academico!$O$26),"")</f>
        <v/>
      </c>
      <c r="AM18" s="57" t="str">
        <f>IF(AND(academico!$Y$27="Alta",academico!$AA$27="Catastrófico"),CONCATENATE("R3C",academico!$O$27),"")</f>
        <v/>
      </c>
      <c r="AN18" s="83"/>
      <c r="AO18" s="344"/>
      <c r="AP18" s="345"/>
      <c r="AQ18" s="345"/>
      <c r="AR18" s="345"/>
      <c r="AS18" s="345"/>
      <c r="AT18" s="346"/>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25">
      <c r="A19" s="83"/>
      <c r="B19" s="255"/>
      <c r="C19" s="255"/>
      <c r="D19" s="256"/>
      <c r="E19" s="354"/>
      <c r="F19" s="353"/>
      <c r="G19" s="353"/>
      <c r="H19" s="353"/>
      <c r="I19" s="353"/>
      <c r="J19" s="67" t="str">
        <f>IF(AND(academico!$Y$28="Alta",academico!$AA$28="Leve"),CONCATENATE("R4C",academico!$O$28),"")</f>
        <v/>
      </c>
      <c r="K19" s="68" t="str">
        <f>IF(AND(academico!$Y$29="Alta",academico!$AA$29="Leve"),CONCATENATE("R4C",academico!$O$29),"")</f>
        <v/>
      </c>
      <c r="L19" s="68" t="str">
        <f>IF(AND(academico!$Y$30="Alta",academico!$AA$30="Leve"),CONCATENATE("R4C",academico!$O$30),"")</f>
        <v/>
      </c>
      <c r="M19" s="68" t="str">
        <f>IF(AND(academico!$Y$31="Alta",academico!$AA$31="Leve"),CONCATENATE("R4C",academico!$O$31),"")</f>
        <v/>
      </c>
      <c r="N19" s="68" t="str">
        <f>IF(AND(academico!$Y$32="Alta",academico!$AA$32="Leve"),CONCATENATE("R4C",academico!$O$32),"")</f>
        <v/>
      </c>
      <c r="O19" s="69" t="str">
        <f>IF(AND(academico!$Y$33="Alta",academico!$AA$33="Leve"),CONCATENATE("R4C",academico!$O$33),"")</f>
        <v/>
      </c>
      <c r="P19" s="67" t="str">
        <f>IF(AND(academico!$Y$28="Alta",academico!$AA$28="Menor"),CONCATENATE("R4C",academico!$O$28),"")</f>
        <v/>
      </c>
      <c r="Q19" s="68" t="str">
        <f>IF(AND(academico!$Y$29="Alta",academico!$AA$29="Menor"),CONCATENATE("R4C",academico!$O$29),"")</f>
        <v/>
      </c>
      <c r="R19" s="68" t="str">
        <f>IF(AND(academico!$Y$30="Alta",academico!$AA$30="Menor"),CONCATENATE("R4C",academico!$O$30),"")</f>
        <v/>
      </c>
      <c r="S19" s="68" t="str">
        <f>IF(AND(academico!$Y$31="Alta",academico!$AA$31="Menor"),CONCATENATE("R4C",academico!$O$31),"")</f>
        <v/>
      </c>
      <c r="T19" s="68" t="str">
        <f>IF(AND(academico!$Y$32="Alta",academico!$AA$32="Menor"),CONCATENATE("R4C",academico!$O$32),"")</f>
        <v/>
      </c>
      <c r="U19" s="69" t="str">
        <f>IF(AND(academico!$Y$33="Alta",academico!$AA$33="Menor"),CONCATENATE("R4C",academico!$O$33),"")</f>
        <v/>
      </c>
      <c r="V19" s="52" t="str">
        <f>IF(AND(academico!$Y$28="Alta",academico!$AA$28="Moderado"),CONCATENATE("R4C",academico!$O$28),"")</f>
        <v/>
      </c>
      <c r="W19" s="53" t="str">
        <f>IF(AND(academico!$Y$29="Alta",academico!$AA$29="Moderado"),CONCATENATE("R4C",academico!$O$29),"")</f>
        <v/>
      </c>
      <c r="X19" s="53" t="str">
        <f>IF(AND(academico!$Y$30="Alta",academico!$AA$30="Moderado"),CONCATENATE("R4C",academico!$O$30),"")</f>
        <v/>
      </c>
      <c r="Y19" s="53" t="str">
        <f>IF(AND(academico!$Y$31="Alta",academico!$AA$31="Moderado"),CONCATENATE("R4C",academico!$O$31),"")</f>
        <v/>
      </c>
      <c r="Z19" s="53" t="str">
        <f>IF(AND(academico!$Y$32="Alta",academico!$AA$32="Moderado"),CONCATENATE("R4C",academico!$O$32),"")</f>
        <v/>
      </c>
      <c r="AA19" s="54" t="str">
        <f>IF(AND(academico!$Y$33="Alta",academico!$AA$33="Moderado"),CONCATENATE("R4C",academico!$O$33),"")</f>
        <v/>
      </c>
      <c r="AB19" s="52" t="str">
        <f>IF(AND(academico!$Y$28="Alta",academico!$AA$28="Mayor"),CONCATENATE("R4C",academico!$O$28),"")</f>
        <v/>
      </c>
      <c r="AC19" s="53" t="str">
        <f>IF(AND(academico!$Y$29="Alta",academico!$AA$29="Mayor"),CONCATENATE("R4C",academico!$O$29),"")</f>
        <v/>
      </c>
      <c r="AD19" s="53" t="str">
        <f>IF(AND(academico!$Y$30="Alta",academico!$AA$30="Mayor"),CONCATENATE("R4C",academico!$O$30),"")</f>
        <v/>
      </c>
      <c r="AE19" s="53" t="str">
        <f>IF(AND(academico!$Y$31="Alta",academico!$AA$31="Mayor"),CONCATENATE("R4C",academico!$O$31),"")</f>
        <v/>
      </c>
      <c r="AF19" s="53" t="str">
        <f>IF(AND(academico!$Y$32="Alta",academico!$AA$32="Mayor"),CONCATENATE("R4C",academico!$O$32),"")</f>
        <v/>
      </c>
      <c r="AG19" s="54" t="str">
        <f>IF(AND(academico!$Y$33="Alta",academico!$AA$33="Mayor"),CONCATENATE("R4C",academico!$O$33),"")</f>
        <v/>
      </c>
      <c r="AH19" s="55" t="str">
        <f>IF(AND(academico!$Y$28="Alta",academico!$AA$28="Catastrófico"),CONCATENATE("R4C",academico!$O$28),"")</f>
        <v/>
      </c>
      <c r="AI19" s="56" t="str">
        <f>IF(AND(academico!$Y$29="Alta",academico!$AA$29="Catastrófico"),CONCATENATE("R4C",academico!$O$29),"")</f>
        <v/>
      </c>
      <c r="AJ19" s="56" t="str">
        <f>IF(AND(academico!$Y$30="Alta",academico!$AA$30="Catastrófico"),CONCATENATE("R4C",academico!$O$30),"")</f>
        <v/>
      </c>
      <c r="AK19" s="56" t="str">
        <f>IF(AND(academico!$Y$31="Alta",academico!$AA$31="Catastrófico"),CONCATENATE("R4C",academico!$O$31),"")</f>
        <v/>
      </c>
      <c r="AL19" s="56" t="str">
        <f>IF(AND(academico!$Y$32="Alta",academico!$AA$32="Catastrófico"),CONCATENATE("R4C",academico!$O$32),"")</f>
        <v/>
      </c>
      <c r="AM19" s="57" t="str">
        <f>IF(AND(academico!$Y$33="Alta",academico!$AA$33="Catastrófico"),CONCATENATE("R4C",academico!$O$33),"")</f>
        <v/>
      </c>
      <c r="AN19" s="83"/>
      <c r="AO19" s="344"/>
      <c r="AP19" s="345"/>
      <c r="AQ19" s="345"/>
      <c r="AR19" s="345"/>
      <c r="AS19" s="345"/>
      <c r="AT19" s="346"/>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25">
      <c r="A20" s="83"/>
      <c r="B20" s="255"/>
      <c r="C20" s="255"/>
      <c r="D20" s="256"/>
      <c r="E20" s="354"/>
      <c r="F20" s="353"/>
      <c r="G20" s="353"/>
      <c r="H20" s="353"/>
      <c r="I20" s="353"/>
      <c r="J20" s="67" t="str">
        <f>IF(AND(academico!$Y$34="Alta",academico!$AA$34="Leve"),CONCATENATE("R5C",academico!$O$34),"")</f>
        <v/>
      </c>
      <c r="K20" s="68" t="str">
        <f>IF(AND(academico!$Y$35="Alta",academico!$AA$35="Leve"),CONCATENATE("R5C",academico!$O$35),"")</f>
        <v/>
      </c>
      <c r="L20" s="68" t="str">
        <f>IF(AND(academico!$Y$36="Alta",academico!$AA$36="Leve"),CONCATENATE("R5C",academico!$O$36),"")</f>
        <v/>
      </c>
      <c r="M20" s="68" t="str">
        <f>IF(AND(academico!$Y$37="Alta",academico!$AA$37="Leve"),CONCATENATE("R5C",academico!$O$37),"")</f>
        <v/>
      </c>
      <c r="N20" s="68" t="str">
        <f>IF(AND(academico!$Y$38="Alta",academico!$AA$38="Leve"),CONCATENATE("R5C",academico!$O$38),"")</f>
        <v/>
      </c>
      <c r="O20" s="69" t="str">
        <f>IF(AND(academico!$Y$39="Alta",academico!$AA$39="Leve"),CONCATENATE("R5C",academico!$O$39),"")</f>
        <v/>
      </c>
      <c r="P20" s="67" t="str">
        <f>IF(AND(academico!$Y$34="Alta",academico!$AA$34="Menor"),CONCATENATE("R5C",academico!$O$34),"")</f>
        <v/>
      </c>
      <c r="Q20" s="68" t="str">
        <f>IF(AND(academico!$Y$35="Alta",academico!$AA$35="Menor"),CONCATENATE("R5C",academico!$O$35),"")</f>
        <v/>
      </c>
      <c r="R20" s="68" t="str">
        <f>IF(AND(academico!$Y$36="Alta",academico!$AA$36="Menor"),CONCATENATE("R5C",academico!$O$36),"")</f>
        <v/>
      </c>
      <c r="S20" s="68" t="str">
        <f>IF(AND(academico!$Y$37="Alta",academico!$AA$37="Menor"),CONCATENATE("R5C",academico!$O$37),"")</f>
        <v/>
      </c>
      <c r="T20" s="68" t="str">
        <f>IF(AND(academico!$Y$38="Alta",academico!$AA$38="Menor"),CONCATENATE("R5C",academico!$O$38),"")</f>
        <v/>
      </c>
      <c r="U20" s="69" t="str">
        <f>IF(AND(academico!$Y$39="Alta",academico!$AA$39="Menor"),CONCATENATE("R5C",academico!$O$39),"")</f>
        <v/>
      </c>
      <c r="V20" s="52" t="str">
        <f>IF(AND(academico!$Y$34="Alta",academico!$AA$34="Moderado"),CONCATENATE("R5C",academico!$O$34),"")</f>
        <v/>
      </c>
      <c r="W20" s="53" t="str">
        <f>IF(AND(academico!$Y$35="Alta",academico!$AA$35="Moderado"),CONCATENATE("R5C",academico!$O$35),"")</f>
        <v/>
      </c>
      <c r="X20" s="53" t="str">
        <f>IF(AND(academico!$Y$36="Alta",academico!$AA$36="Moderado"),CONCATENATE("R5C",academico!$O$36),"")</f>
        <v/>
      </c>
      <c r="Y20" s="53" t="str">
        <f>IF(AND(academico!$Y$37="Alta",academico!$AA$37="Moderado"),CONCATENATE("R5C",academico!$O$37),"")</f>
        <v/>
      </c>
      <c r="Z20" s="53" t="str">
        <f>IF(AND(academico!$Y$38="Alta",academico!$AA$38="Moderado"),CONCATENATE("R5C",academico!$O$38),"")</f>
        <v/>
      </c>
      <c r="AA20" s="54" t="str">
        <f>IF(AND(academico!$Y$39="Alta",academico!$AA$39="Moderado"),CONCATENATE("R5C",academico!$O$39),"")</f>
        <v/>
      </c>
      <c r="AB20" s="52" t="str">
        <f>IF(AND(academico!$Y$34="Alta",academico!$AA$34="Mayor"),CONCATENATE("R5C",academico!$O$34),"")</f>
        <v/>
      </c>
      <c r="AC20" s="53" t="str">
        <f>IF(AND(academico!$Y$35="Alta",academico!$AA$35="Mayor"),CONCATENATE("R5C",academico!$O$35),"")</f>
        <v/>
      </c>
      <c r="AD20" s="53" t="str">
        <f>IF(AND(academico!$Y$36="Alta",academico!$AA$36="Mayor"),CONCATENATE("R5C",academico!$O$36),"")</f>
        <v/>
      </c>
      <c r="AE20" s="53" t="str">
        <f>IF(AND(academico!$Y$37="Alta",academico!$AA$37="Mayor"),CONCATENATE("R5C",academico!$O$37),"")</f>
        <v/>
      </c>
      <c r="AF20" s="53" t="str">
        <f>IF(AND(academico!$Y$38="Alta",academico!$AA$38="Mayor"),CONCATENATE("R5C",academico!$O$38),"")</f>
        <v/>
      </c>
      <c r="AG20" s="54" t="str">
        <f>IF(AND(academico!$Y$39="Alta",academico!$AA$39="Mayor"),CONCATENATE("R5C",academico!$O$39),"")</f>
        <v/>
      </c>
      <c r="AH20" s="55" t="str">
        <f>IF(AND(academico!$Y$34="Alta",academico!$AA$34="Catastrófico"),CONCATENATE("R5C",academico!$O$34),"")</f>
        <v/>
      </c>
      <c r="AI20" s="56" t="str">
        <f>IF(AND(academico!$Y$35="Alta",academico!$AA$35="Catastrófico"),CONCATENATE("R5C",academico!$O$35),"")</f>
        <v/>
      </c>
      <c r="AJ20" s="56" t="str">
        <f>IF(AND(academico!$Y$36="Alta",academico!$AA$36="Catastrófico"),CONCATENATE("R5C",academico!$O$36),"")</f>
        <v/>
      </c>
      <c r="AK20" s="56" t="str">
        <f>IF(AND(academico!$Y$37="Alta",academico!$AA$37="Catastrófico"),CONCATENATE("R5C",academico!$O$37),"")</f>
        <v/>
      </c>
      <c r="AL20" s="56" t="str">
        <f>IF(AND(academico!$Y$38="Alta",academico!$AA$38="Catastrófico"),CONCATENATE("R5C",academico!$O$38),"")</f>
        <v/>
      </c>
      <c r="AM20" s="57" t="str">
        <f>IF(AND(academico!$Y$39="Alta",academico!$AA$39="Catastrófico"),CONCATENATE("R5C",academico!$O$39),"")</f>
        <v/>
      </c>
      <c r="AN20" s="83"/>
      <c r="AO20" s="344"/>
      <c r="AP20" s="345"/>
      <c r="AQ20" s="345"/>
      <c r="AR20" s="345"/>
      <c r="AS20" s="345"/>
      <c r="AT20" s="346"/>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25">
      <c r="A21" s="83"/>
      <c r="B21" s="255"/>
      <c r="C21" s="255"/>
      <c r="D21" s="256"/>
      <c r="E21" s="354"/>
      <c r="F21" s="353"/>
      <c r="G21" s="353"/>
      <c r="H21" s="353"/>
      <c r="I21" s="353"/>
      <c r="J21" s="67" t="str">
        <f>IF(AND(academico!$Y$40="Alta",academico!$AA$40="Leve"),CONCATENATE("R6C",academico!$O$40),"")</f>
        <v/>
      </c>
      <c r="K21" s="68" t="str">
        <f>IF(AND(academico!$Y$41="Alta",academico!$AA$41="Leve"),CONCATENATE("R6C",academico!$O$41),"")</f>
        <v/>
      </c>
      <c r="L21" s="68" t="str">
        <f>IF(AND(academico!$Y$42="Alta",academico!$AA$42="Leve"),CONCATENATE("R6C",academico!$O$42),"")</f>
        <v/>
      </c>
      <c r="M21" s="68" t="str">
        <f>IF(AND(academico!$Y$43="Alta",academico!$AA$43="Leve"),CONCATENATE("R6C",academico!$O$43),"")</f>
        <v/>
      </c>
      <c r="N21" s="68" t="str">
        <f>IF(AND(academico!$Y$44="Alta",academico!$AA$44="Leve"),CONCATENATE("R6C",academico!$O$44),"")</f>
        <v/>
      </c>
      <c r="O21" s="69" t="str">
        <f>IF(AND(academico!$Y$45="Alta",academico!$AA$45="Leve"),CONCATENATE("R6C",academico!$O$45),"")</f>
        <v/>
      </c>
      <c r="P21" s="67" t="str">
        <f>IF(AND(academico!$Y$40="Alta",academico!$AA$40="Menor"),CONCATENATE("R6C",academico!$O$40),"")</f>
        <v/>
      </c>
      <c r="Q21" s="68" t="str">
        <f>IF(AND(academico!$Y$41="Alta",academico!$AA$41="Menor"),CONCATENATE("R6C",academico!$O$41),"")</f>
        <v/>
      </c>
      <c r="R21" s="68" t="str">
        <f>IF(AND(academico!$Y$42="Alta",academico!$AA$42="Menor"),CONCATENATE("R6C",academico!$O$42),"")</f>
        <v/>
      </c>
      <c r="S21" s="68" t="str">
        <f>IF(AND(academico!$Y$43="Alta",academico!$AA$43="Menor"),CONCATENATE("R6C",academico!$O$43),"")</f>
        <v/>
      </c>
      <c r="T21" s="68" t="str">
        <f>IF(AND(academico!$Y$44="Alta",academico!$AA$44="Menor"),CONCATENATE("R6C",academico!$O$44),"")</f>
        <v/>
      </c>
      <c r="U21" s="69" t="str">
        <f>IF(AND(academico!$Y$45="Alta",academico!$AA$45="Menor"),CONCATENATE("R6C",academico!$O$45),"")</f>
        <v/>
      </c>
      <c r="V21" s="52" t="str">
        <f>IF(AND(academico!$Y$40="Alta",academico!$AA$40="Moderado"),CONCATENATE("R6C",academico!$O$40),"")</f>
        <v/>
      </c>
      <c r="W21" s="53" t="str">
        <f>IF(AND(academico!$Y$41="Alta",academico!$AA$41="Moderado"),CONCATENATE("R6C",academico!$O$41),"")</f>
        <v/>
      </c>
      <c r="X21" s="53" t="str">
        <f>IF(AND(academico!$Y$42="Alta",academico!$AA$42="Moderado"),CONCATENATE("R6C",academico!$O$42),"")</f>
        <v/>
      </c>
      <c r="Y21" s="53" t="str">
        <f>IF(AND(academico!$Y$43="Alta",academico!$AA$43="Moderado"),CONCATENATE("R6C",academico!$O$43),"")</f>
        <v/>
      </c>
      <c r="Z21" s="53" t="str">
        <f>IF(AND(academico!$Y$44="Alta",academico!$AA$44="Moderado"),CONCATENATE("R6C",academico!$O$44),"")</f>
        <v/>
      </c>
      <c r="AA21" s="54" t="str">
        <f>IF(AND(academico!$Y$45="Alta",academico!$AA$45="Moderado"),CONCATENATE("R6C",academico!$O$45),"")</f>
        <v/>
      </c>
      <c r="AB21" s="52" t="str">
        <f>IF(AND(academico!$Y$40="Alta",academico!$AA$40="Mayor"),CONCATENATE("R6C",academico!$O$40),"")</f>
        <v/>
      </c>
      <c r="AC21" s="53" t="str">
        <f>IF(AND(academico!$Y$41="Alta",academico!$AA$41="Mayor"),CONCATENATE("R6C",academico!$O$41),"")</f>
        <v/>
      </c>
      <c r="AD21" s="53" t="str">
        <f>IF(AND(academico!$Y$42="Alta",academico!$AA$42="Mayor"),CONCATENATE("R6C",academico!$O$42),"")</f>
        <v/>
      </c>
      <c r="AE21" s="53" t="str">
        <f>IF(AND(academico!$Y$43="Alta",academico!$AA$43="Mayor"),CONCATENATE("R6C",academico!$O$43),"")</f>
        <v/>
      </c>
      <c r="AF21" s="53" t="str">
        <f>IF(AND(academico!$Y$44="Alta",academico!$AA$44="Mayor"),CONCATENATE("R6C",academico!$O$44),"")</f>
        <v/>
      </c>
      <c r="AG21" s="54" t="str">
        <f>IF(AND(academico!$Y$45="Alta",academico!$AA$45="Mayor"),CONCATENATE("R6C",academico!$O$45),"")</f>
        <v/>
      </c>
      <c r="AH21" s="55" t="str">
        <f>IF(AND(academico!$Y$40="Alta",academico!$AA$40="Catastrófico"),CONCATENATE("R6C",academico!$O$40),"")</f>
        <v/>
      </c>
      <c r="AI21" s="56" t="str">
        <f>IF(AND(academico!$Y$41="Alta",academico!$AA$41="Catastrófico"),CONCATENATE("R6C",academico!$O$41),"")</f>
        <v/>
      </c>
      <c r="AJ21" s="56" t="str">
        <f>IF(AND(academico!$Y$42="Alta",academico!$AA$42="Catastrófico"),CONCATENATE("R6C",academico!$O$42),"")</f>
        <v/>
      </c>
      <c r="AK21" s="56" t="str">
        <f>IF(AND(academico!$Y$43="Alta",academico!$AA$43="Catastrófico"),CONCATENATE("R6C",academico!$O$43),"")</f>
        <v/>
      </c>
      <c r="AL21" s="56" t="str">
        <f>IF(AND(academico!$Y$44="Alta",academico!$AA$44="Catastrófico"),CONCATENATE("R6C",academico!$O$44),"")</f>
        <v/>
      </c>
      <c r="AM21" s="57" t="str">
        <f>IF(AND(academico!$Y$45="Alta",academico!$AA$45="Catastrófico"),CONCATENATE("R6C",academico!$O$45),"")</f>
        <v/>
      </c>
      <c r="AN21" s="83"/>
      <c r="AO21" s="344"/>
      <c r="AP21" s="345"/>
      <c r="AQ21" s="345"/>
      <c r="AR21" s="345"/>
      <c r="AS21" s="345"/>
      <c r="AT21" s="346"/>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25">
      <c r="A22" s="83"/>
      <c r="B22" s="255"/>
      <c r="C22" s="255"/>
      <c r="D22" s="256"/>
      <c r="E22" s="354"/>
      <c r="F22" s="353"/>
      <c r="G22" s="353"/>
      <c r="H22" s="353"/>
      <c r="I22" s="353"/>
      <c r="J22" s="67" t="str">
        <f>IF(AND(academico!$Y$46="Alta",academico!$AA$46="Leve"),CONCATENATE("R7C",academico!$O$46),"")</f>
        <v/>
      </c>
      <c r="K22" s="68" t="str">
        <f>IF(AND(academico!$Y$47="Alta",academico!$AA$47="Leve"),CONCATENATE("R7C",academico!$O$47),"")</f>
        <v/>
      </c>
      <c r="L22" s="68" t="str">
        <f>IF(AND(academico!$Y$48="Alta",academico!$AA$48="Leve"),CONCATENATE("R7C",academico!$O$48),"")</f>
        <v/>
      </c>
      <c r="M22" s="68" t="str">
        <f>IF(AND(academico!$Y$49="Alta",academico!$AA$49="Leve"),CONCATENATE("R7C",academico!$O$49),"")</f>
        <v/>
      </c>
      <c r="N22" s="68" t="str">
        <f>IF(AND(academico!$Y$50="Alta",academico!$AA$50="Leve"),CONCATENATE("R7C",academico!$O$50),"")</f>
        <v/>
      </c>
      <c r="O22" s="69" t="str">
        <f>IF(AND(academico!$Y$51="Alta",academico!$AA$51="Leve"),CONCATENATE("R7C",academico!$O$51),"")</f>
        <v/>
      </c>
      <c r="P22" s="67" t="str">
        <f>IF(AND(academico!$Y$46="Alta",academico!$AA$46="Menor"),CONCATENATE("R7C",academico!$O$46),"")</f>
        <v/>
      </c>
      <c r="Q22" s="68" t="str">
        <f>IF(AND(academico!$Y$47="Alta",academico!$AA$47="Menor"),CONCATENATE("R7C",academico!$O$47),"")</f>
        <v/>
      </c>
      <c r="R22" s="68" t="str">
        <f>IF(AND(academico!$Y$48="Alta",academico!$AA$48="Menor"),CONCATENATE("R7C",academico!$O$48),"")</f>
        <v/>
      </c>
      <c r="S22" s="68" t="str">
        <f>IF(AND(academico!$Y$49="Alta",academico!$AA$49="Menor"),CONCATENATE("R7C",academico!$O$49),"")</f>
        <v/>
      </c>
      <c r="T22" s="68" t="str">
        <f>IF(AND(academico!$Y$50="Alta",academico!$AA$50="Menor"),CONCATENATE("R7C",academico!$O$50),"")</f>
        <v/>
      </c>
      <c r="U22" s="69" t="str">
        <f>IF(AND(academico!$Y$51="Alta",academico!$AA$51="Menor"),CONCATENATE("R7C",academico!$O$51),"")</f>
        <v/>
      </c>
      <c r="V22" s="52" t="str">
        <f>IF(AND(academico!$Y$46="Alta",academico!$AA$46="Moderado"),CONCATENATE("R7C",academico!$O$46),"")</f>
        <v/>
      </c>
      <c r="W22" s="53" t="str">
        <f>IF(AND(academico!$Y$47="Alta",academico!$AA$47="Moderado"),CONCATENATE("R7C",academico!$O$47),"")</f>
        <v/>
      </c>
      <c r="X22" s="53" t="str">
        <f>IF(AND(academico!$Y$48="Alta",academico!$AA$48="Moderado"),CONCATENATE("R7C",academico!$O$48),"")</f>
        <v/>
      </c>
      <c r="Y22" s="53" t="str">
        <f>IF(AND(academico!$Y$49="Alta",academico!$AA$49="Moderado"),CONCATENATE("R7C",academico!$O$49),"")</f>
        <v/>
      </c>
      <c r="Z22" s="53" t="str">
        <f>IF(AND(academico!$Y$50="Alta",academico!$AA$50="Moderado"),CONCATENATE("R7C",academico!$O$50),"")</f>
        <v/>
      </c>
      <c r="AA22" s="54" t="str">
        <f>IF(AND(academico!$Y$51="Alta",academico!$AA$51="Moderado"),CONCATENATE("R7C",academico!$O$51),"")</f>
        <v/>
      </c>
      <c r="AB22" s="52" t="str">
        <f>IF(AND(academico!$Y$46="Alta",academico!$AA$46="Mayor"),CONCATENATE("R7C",academico!$O$46),"")</f>
        <v/>
      </c>
      <c r="AC22" s="53" t="str">
        <f>IF(AND(academico!$Y$47="Alta",academico!$AA$47="Mayor"),CONCATENATE("R7C",academico!$O$47),"")</f>
        <v/>
      </c>
      <c r="AD22" s="53" t="str">
        <f>IF(AND(academico!$Y$48="Alta",academico!$AA$48="Mayor"),CONCATENATE("R7C",academico!$O$48),"")</f>
        <v/>
      </c>
      <c r="AE22" s="53" t="str">
        <f>IF(AND(academico!$Y$49="Alta",academico!$AA$49="Mayor"),CONCATENATE("R7C",academico!$O$49),"")</f>
        <v/>
      </c>
      <c r="AF22" s="53" t="str">
        <f>IF(AND(academico!$Y$50="Alta",academico!$AA$50="Mayor"),CONCATENATE("R7C",academico!$O$50),"")</f>
        <v/>
      </c>
      <c r="AG22" s="54" t="str">
        <f>IF(AND(academico!$Y$51="Alta",academico!$AA$51="Mayor"),CONCATENATE("R7C",academico!$O$51),"")</f>
        <v/>
      </c>
      <c r="AH22" s="55" t="str">
        <f>IF(AND(academico!$Y$46="Alta",academico!$AA$46="Catastrófico"),CONCATENATE("R7C",academico!$O$46),"")</f>
        <v/>
      </c>
      <c r="AI22" s="56" t="str">
        <f>IF(AND(academico!$Y$47="Alta",academico!$AA$47="Catastrófico"),CONCATENATE("R7C",academico!$O$47),"")</f>
        <v/>
      </c>
      <c r="AJ22" s="56" t="str">
        <f>IF(AND(academico!$Y$48="Alta",academico!$AA$48="Catastrófico"),CONCATENATE("R7C",academico!$O$48),"")</f>
        <v/>
      </c>
      <c r="AK22" s="56" t="str">
        <f>IF(AND(academico!$Y$49="Alta",academico!$AA$49="Catastrófico"),CONCATENATE("R7C",academico!$O$49),"")</f>
        <v/>
      </c>
      <c r="AL22" s="56" t="str">
        <f>IF(AND(academico!$Y$50="Alta",academico!$AA$50="Catastrófico"),CONCATENATE("R7C",academico!$O$50),"")</f>
        <v/>
      </c>
      <c r="AM22" s="57" t="str">
        <f>IF(AND(academico!$Y$51="Alta",academico!$AA$51="Catastrófico"),CONCATENATE("R7C",academico!$O$51),"")</f>
        <v/>
      </c>
      <c r="AN22" s="83"/>
      <c r="AO22" s="344"/>
      <c r="AP22" s="345"/>
      <c r="AQ22" s="345"/>
      <c r="AR22" s="345"/>
      <c r="AS22" s="345"/>
      <c r="AT22" s="346"/>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25">
      <c r="A23" s="83"/>
      <c r="B23" s="255"/>
      <c r="C23" s="255"/>
      <c r="D23" s="256"/>
      <c r="E23" s="354"/>
      <c r="F23" s="353"/>
      <c r="G23" s="353"/>
      <c r="H23" s="353"/>
      <c r="I23" s="353"/>
      <c r="J23" s="67" t="str">
        <f>IF(AND(academico!$Y$52="Alta",academico!$AA$52="Leve"),CONCATENATE("R8C",academico!$O$52),"")</f>
        <v/>
      </c>
      <c r="K23" s="68" t="str">
        <f>IF(AND(academico!$Y$53="Alta",academico!$AA$53="Leve"),CONCATENATE("R8C",academico!$O$53),"")</f>
        <v/>
      </c>
      <c r="L23" s="68" t="str">
        <f>IF(AND(academico!$Y$54="Alta",academico!$AA$54="Leve"),CONCATENATE("R8C",academico!$O$54),"")</f>
        <v/>
      </c>
      <c r="M23" s="68" t="str">
        <f>IF(AND(academico!$Y$55="Alta",academico!$AA$55="Leve"),CONCATENATE("R8C",academico!$O$55),"")</f>
        <v/>
      </c>
      <c r="N23" s="68" t="str">
        <f>IF(AND(academico!$Y$56="Alta",academico!$AA$56="Leve"),CONCATENATE("R8C",academico!$O$56),"")</f>
        <v/>
      </c>
      <c r="O23" s="69" t="str">
        <f>IF(AND(academico!$Y$57="Alta",academico!$AA$57="Leve"),CONCATENATE("R8C",academico!$O$57),"")</f>
        <v/>
      </c>
      <c r="P23" s="67" t="str">
        <f>IF(AND(academico!$Y$52="Alta",academico!$AA$52="Menor"),CONCATENATE("R8C",academico!$O$52),"")</f>
        <v/>
      </c>
      <c r="Q23" s="68" t="str">
        <f>IF(AND(academico!$Y$53="Alta",academico!$AA$53="Menor"),CONCATENATE("R8C",academico!$O$53),"")</f>
        <v/>
      </c>
      <c r="R23" s="68" t="str">
        <f>IF(AND(academico!$Y$54="Alta",academico!$AA$54="Menor"),CONCATENATE("R8C",academico!$O$54),"")</f>
        <v/>
      </c>
      <c r="S23" s="68" t="str">
        <f>IF(AND(academico!$Y$55="Alta",academico!$AA$55="Menor"),CONCATENATE("R8C",academico!$O$55),"")</f>
        <v/>
      </c>
      <c r="T23" s="68" t="str">
        <f>IF(AND(academico!$Y$56="Alta",academico!$AA$56="Menor"),CONCATENATE("R8C",academico!$O$56),"")</f>
        <v/>
      </c>
      <c r="U23" s="69" t="str">
        <f>IF(AND(academico!$Y$57="Alta",academico!$AA$57="Menor"),CONCATENATE("R8C",academico!$O$57),"")</f>
        <v/>
      </c>
      <c r="V23" s="52" t="str">
        <f>IF(AND(academico!$Y$52="Alta",academico!$AA$52="Moderado"),CONCATENATE("R8C",academico!$O$52),"")</f>
        <v/>
      </c>
      <c r="W23" s="53" t="str">
        <f>IF(AND(academico!$Y$53="Alta",academico!$AA$53="Moderado"),CONCATENATE("R8C",academico!$O$53),"")</f>
        <v/>
      </c>
      <c r="X23" s="53" t="str">
        <f>IF(AND(academico!$Y$54="Alta",academico!$AA$54="Moderado"),CONCATENATE("R8C",academico!$O$54),"")</f>
        <v/>
      </c>
      <c r="Y23" s="53" t="str">
        <f>IF(AND(academico!$Y$55="Alta",academico!$AA$55="Moderado"),CONCATENATE("R8C",academico!$O$55),"")</f>
        <v/>
      </c>
      <c r="Z23" s="53" t="str">
        <f>IF(AND(academico!$Y$56="Alta",academico!$AA$56="Moderado"),CONCATENATE("R8C",academico!$O$56),"")</f>
        <v/>
      </c>
      <c r="AA23" s="54" t="str">
        <f>IF(AND(academico!$Y$57="Alta",academico!$AA$57="Moderado"),CONCATENATE("R8C",academico!$O$57),"")</f>
        <v/>
      </c>
      <c r="AB23" s="52" t="str">
        <f>IF(AND(academico!$Y$52="Alta",academico!$AA$52="Mayor"),CONCATENATE("R8C",academico!$O$52),"")</f>
        <v/>
      </c>
      <c r="AC23" s="53" t="str">
        <f>IF(AND(academico!$Y$53="Alta",academico!$AA$53="Mayor"),CONCATENATE("R8C",academico!$O$53),"")</f>
        <v/>
      </c>
      <c r="AD23" s="53" t="str">
        <f>IF(AND(academico!$Y$54="Alta",academico!$AA$54="Mayor"),CONCATENATE("R8C",academico!$O$54),"")</f>
        <v/>
      </c>
      <c r="AE23" s="53" t="str">
        <f>IF(AND(academico!$Y$55="Alta",academico!$AA$55="Mayor"),CONCATENATE("R8C",academico!$O$55),"")</f>
        <v/>
      </c>
      <c r="AF23" s="53" t="str">
        <f>IF(AND(academico!$Y$56="Alta",academico!$AA$56="Mayor"),CONCATENATE("R8C",academico!$O$56),"")</f>
        <v/>
      </c>
      <c r="AG23" s="54" t="str">
        <f>IF(AND(academico!$Y$57="Alta",academico!$AA$57="Mayor"),CONCATENATE("R8C",academico!$O$57),"")</f>
        <v/>
      </c>
      <c r="AH23" s="55" t="str">
        <f>IF(AND(academico!$Y$52="Alta",academico!$AA$52="Catastrófico"),CONCATENATE("R8C",academico!$O$52),"")</f>
        <v/>
      </c>
      <c r="AI23" s="56" t="str">
        <f>IF(AND(academico!$Y$53="Alta",academico!$AA$53="Catastrófico"),CONCATENATE("R8C",academico!$O$53),"")</f>
        <v/>
      </c>
      <c r="AJ23" s="56" t="str">
        <f>IF(AND(academico!$Y$54="Alta",academico!$AA$54="Catastrófico"),CONCATENATE("R8C",academico!$O$54),"")</f>
        <v/>
      </c>
      <c r="AK23" s="56" t="str">
        <f>IF(AND(academico!$Y$55="Alta",academico!$AA$55="Catastrófico"),CONCATENATE("R8C",academico!$O$55),"")</f>
        <v/>
      </c>
      <c r="AL23" s="56" t="str">
        <f>IF(AND(academico!$Y$56="Alta",academico!$AA$56="Catastrófico"),CONCATENATE("R8C",academico!$O$56),"")</f>
        <v/>
      </c>
      <c r="AM23" s="57" t="str">
        <f>IF(AND(academico!$Y$57="Alta",academico!$AA$57="Catastrófico"),CONCATENATE("R8C",academico!$O$57),"")</f>
        <v/>
      </c>
      <c r="AN23" s="83"/>
      <c r="AO23" s="344"/>
      <c r="AP23" s="345"/>
      <c r="AQ23" s="345"/>
      <c r="AR23" s="345"/>
      <c r="AS23" s="345"/>
      <c r="AT23" s="346"/>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25">
      <c r="A24" s="83"/>
      <c r="B24" s="255"/>
      <c r="C24" s="255"/>
      <c r="D24" s="256"/>
      <c r="E24" s="354"/>
      <c r="F24" s="353"/>
      <c r="G24" s="353"/>
      <c r="H24" s="353"/>
      <c r="I24" s="353"/>
      <c r="J24" s="67" t="str">
        <f>IF(AND(academico!$Y$58="Alta",academico!$AA$58="Leve"),CONCATENATE("R9C",academico!$O$58),"")</f>
        <v/>
      </c>
      <c r="K24" s="68" t="str">
        <f>IF(AND(academico!$Y$59="Alta",academico!$AA$59="Leve"),CONCATENATE("R9C",academico!$O$59),"")</f>
        <v/>
      </c>
      <c r="L24" s="68" t="str">
        <f>IF(AND(academico!$Y$60="Alta",academico!$AA$60="Leve"),CONCATENATE("R9C",academico!$O$60),"")</f>
        <v/>
      </c>
      <c r="M24" s="68" t="str">
        <f>IF(AND(academico!$Y$61="Alta",academico!$AA$61="Leve"),CONCATENATE("R9C",academico!$O$61),"")</f>
        <v/>
      </c>
      <c r="N24" s="68" t="str">
        <f>IF(AND(academico!$Y$62="Alta",academico!$AA$62="Leve"),CONCATENATE("R9C",academico!$O$62),"")</f>
        <v/>
      </c>
      <c r="O24" s="69" t="str">
        <f>IF(AND(academico!$Y$63="Alta",academico!$AA$63="Leve"),CONCATENATE("R9C",academico!$O$63),"")</f>
        <v/>
      </c>
      <c r="P24" s="67" t="str">
        <f>IF(AND(academico!$Y$58="Alta",academico!$AA$58="Menor"),CONCATENATE("R9C",academico!$O$58),"")</f>
        <v/>
      </c>
      <c r="Q24" s="68" t="str">
        <f>IF(AND(academico!$Y$59="Alta",academico!$AA$59="Menor"),CONCATENATE("R9C",academico!$O$59),"")</f>
        <v/>
      </c>
      <c r="R24" s="68" t="str">
        <f>IF(AND(academico!$Y$60="Alta",academico!$AA$60="Menor"),CONCATENATE("R9C",academico!$O$60),"")</f>
        <v/>
      </c>
      <c r="S24" s="68" t="str">
        <f>IF(AND(academico!$Y$61="Alta",academico!$AA$61="Menor"),CONCATENATE("R9C",academico!$O$61),"")</f>
        <v/>
      </c>
      <c r="T24" s="68" t="str">
        <f>IF(AND(academico!$Y$62="Alta",academico!$AA$62="Menor"),CONCATENATE("R9C",academico!$O$62),"")</f>
        <v/>
      </c>
      <c r="U24" s="69" t="str">
        <f>IF(AND(academico!$Y$63="Alta",academico!$AA$63="Menor"),CONCATENATE("R9C",academico!$O$63),"")</f>
        <v/>
      </c>
      <c r="V24" s="52" t="str">
        <f>IF(AND(academico!$Y$58="Alta",academico!$AA$58="Moderado"),CONCATENATE("R9C",academico!$O$58),"")</f>
        <v/>
      </c>
      <c r="W24" s="53" t="str">
        <f>IF(AND(academico!$Y$59="Alta",academico!$AA$59="Moderado"),CONCATENATE("R9C",academico!$O$59),"")</f>
        <v/>
      </c>
      <c r="X24" s="53" t="str">
        <f>IF(AND(academico!$Y$60="Alta",academico!$AA$60="Moderado"),CONCATENATE("R9C",academico!$O$60),"")</f>
        <v/>
      </c>
      <c r="Y24" s="53" t="str">
        <f>IF(AND(academico!$Y$61="Alta",academico!$AA$61="Moderado"),CONCATENATE("R9C",academico!$O$61),"")</f>
        <v/>
      </c>
      <c r="Z24" s="53" t="str">
        <f>IF(AND(academico!$Y$62="Alta",academico!$AA$62="Moderado"),CONCATENATE("R9C",academico!$O$62),"")</f>
        <v/>
      </c>
      <c r="AA24" s="54" t="str">
        <f>IF(AND(academico!$Y$63="Alta",academico!$AA$63="Moderado"),CONCATENATE("R9C",academico!$O$63),"")</f>
        <v/>
      </c>
      <c r="AB24" s="52" t="str">
        <f>IF(AND(academico!$Y$58="Alta",academico!$AA$58="Mayor"),CONCATENATE("R9C",academico!$O$58),"")</f>
        <v/>
      </c>
      <c r="AC24" s="53" t="str">
        <f>IF(AND(academico!$Y$59="Alta",academico!$AA$59="Mayor"),CONCATENATE("R9C",academico!$O$59),"")</f>
        <v/>
      </c>
      <c r="AD24" s="53" t="str">
        <f>IF(AND(academico!$Y$60="Alta",academico!$AA$60="Mayor"),CONCATENATE("R9C",academico!$O$60),"")</f>
        <v/>
      </c>
      <c r="AE24" s="53" t="str">
        <f>IF(AND(academico!$Y$61="Alta",academico!$AA$61="Mayor"),CONCATENATE("R9C",academico!$O$61),"")</f>
        <v/>
      </c>
      <c r="AF24" s="53" t="str">
        <f>IF(AND(academico!$Y$62="Alta",academico!$AA$62="Mayor"),CONCATENATE("R9C",academico!$O$62),"")</f>
        <v/>
      </c>
      <c r="AG24" s="54" t="str">
        <f>IF(AND(academico!$Y$63="Alta",academico!$AA$63="Mayor"),CONCATENATE("R9C",academico!$O$63),"")</f>
        <v/>
      </c>
      <c r="AH24" s="55" t="str">
        <f>IF(AND(academico!$Y$58="Alta",academico!$AA$58="Catastrófico"),CONCATENATE("R9C",academico!$O$58),"")</f>
        <v/>
      </c>
      <c r="AI24" s="56" t="str">
        <f>IF(AND(academico!$Y$59="Alta",academico!$AA$59="Catastrófico"),CONCATENATE("R9C",academico!$O$59),"")</f>
        <v/>
      </c>
      <c r="AJ24" s="56" t="str">
        <f>IF(AND(academico!$Y$60="Alta",academico!$AA$60="Catastrófico"),CONCATENATE("R9C",academico!$O$60),"")</f>
        <v/>
      </c>
      <c r="AK24" s="56" t="str">
        <f>IF(AND(academico!$Y$61="Alta",academico!$AA$61="Catastrófico"),CONCATENATE("R9C",academico!$O$61),"")</f>
        <v/>
      </c>
      <c r="AL24" s="56" t="str">
        <f>IF(AND(academico!$Y$62="Alta",academico!$AA$62="Catastrófico"),CONCATENATE("R9C",academico!$O$62),"")</f>
        <v/>
      </c>
      <c r="AM24" s="57" t="str">
        <f>IF(AND(academico!$Y$63="Alta",academico!$AA$63="Catastrófico"),CONCATENATE("R9C",academico!$O$63),"")</f>
        <v/>
      </c>
      <c r="AN24" s="83"/>
      <c r="AO24" s="344"/>
      <c r="AP24" s="345"/>
      <c r="AQ24" s="345"/>
      <c r="AR24" s="345"/>
      <c r="AS24" s="345"/>
      <c r="AT24" s="346"/>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
      <c r="A25" s="83"/>
      <c r="B25" s="255"/>
      <c r="C25" s="255"/>
      <c r="D25" s="256"/>
      <c r="E25" s="355"/>
      <c r="F25" s="356"/>
      <c r="G25" s="356"/>
      <c r="H25" s="356"/>
      <c r="I25" s="356"/>
      <c r="J25" s="70" t="str">
        <f>IF(AND(academico!$Y$64="Alta",academico!$AA$64="Leve"),CONCATENATE("R10C",academico!$O$64),"")</f>
        <v/>
      </c>
      <c r="K25" s="71" t="str">
        <f>IF(AND(academico!$Y$65="Alta",academico!$AA$65="Leve"),CONCATENATE("R10C",academico!$O$65),"")</f>
        <v/>
      </c>
      <c r="L25" s="71" t="str">
        <f>IF(AND(academico!$Y$66="Alta",academico!$AA$66="Leve"),CONCATENATE("R10C",academico!$O$66),"")</f>
        <v/>
      </c>
      <c r="M25" s="71" t="str">
        <f>IF(AND(academico!$Y$67="Alta",academico!$AA$67="Leve"),CONCATENATE("R10C",academico!$O$67),"")</f>
        <v/>
      </c>
      <c r="N25" s="71" t="str">
        <f>IF(AND(academico!$Y$68="Alta",academico!$AA$68="Leve"),CONCATENATE("R10C",academico!$O$68),"")</f>
        <v/>
      </c>
      <c r="O25" s="72" t="str">
        <f>IF(AND(academico!$Y$69="Alta",academico!$AA$69="Leve"),CONCATENATE("R10C",academico!$O$69),"")</f>
        <v/>
      </c>
      <c r="P25" s="70" t="str">
        <f>IF(AND(academico!$Y$64="Alta",academico!$AA$64="Menor"),CONCATENATE("R10C",academico!$O$64),"")</f>
        <v/>
      </c>
      <c r="Q25" s="71" t="str">
        <f>IF(AND(academico!$Y$65="Alta",academico!$AA$65="Menor"),CONCATENATE("R10C",academico!$O$65),"")</f>
        <v/>
      </c>
      <c r="R25" s="71" t="str">
        <f>IF(AND(academico!$Y$66="Alta",academico!$AA$66="Menor"),CONCATENATE("R10C",academico!$O$66),"")</f>
        <v/>
      </c>
      <c r="S25" s="71" t="str">
        <f>IF(AND(academico!$Y$67="Alta",academico!$AA$67="Menor"),CONCATENATE("R10C",academico!$O$67),"")</f>
        <v/>
      </c>
      <c r="T25" s="71" t="str">
        <f>IF(AND(academico!$Y$68="Alta",academico!$AA$68="Menor"),CONCATENATE("R10C",academico!$O$68),"")</f>
        <v/>
      </c>
      <c r="U25" s="72" t="str">
        <f>IF(AND(academico!$Y$69="Alta",academico!$AA$69="Menor"),CONCATENATE("R10C",academico!$O$69),"")</f>
        <v/>
      </c>
      <c r="V25" s="58" t="str">
        <f>IF(AND(academico!$Y$64="Alta",academico!$AA$64="Moderado"),CONCATENATE("R10C",academico!$O$64),"")</f>
        <v/>
      </c>
      <c r="W25" s="59" t="str">
        <f>IF(AND(academico!$Y$65="Alta",academico!$AA$65="Moderado"),CONCATENATE("R10C",academico!$O$65),"")</f>
        <v/>
      </c>
      <c r="X25" s="59" t="str">
        <f>IF(AND(academico!$Y$66="Alta",academico!$AA$66="Moderado"),CONCATENATE("R10C",academico!$O$66),"")</f>
        <v/>
      </c>
      <c r="Y25" s="59" t="str">
        <f>IF(AND(academico!$Y$67="Alta",academico!$AA$67="Moderado"),CONCATENATE("R10C",academico!$O$67),"")</f>
        <v/>
      </c>
      <c r="Z25" s="59" t="str">
        <f>IF(AND(academico!$Y$68="Alta",academico!$AA$68="Moderado"),CONCATENATE("R10C",academico!$O$68),"")</f>
        <v/>
      </c>
      <c r="AA25" s="60" t="str">
        <f>IF(AND(academico!$Y$69="Alta",academico!$AA$69="Moderado"),CONCATENATE("R10C",academico!$O$69),"")</f>
        <v/>
      </c>
      <c r="AB25" s="58" t="str">
        <f>IF(AND(academico!$Y$64="Alta",academico!$AA$64="Mayor"),CONCATENATE("R10C",academico!$O$64),"")</f>
        <v/>
      </c>
      <c r="AC25" s="59" t="str">
        <f>IF(AND(academico!$Y$65="Alta",academico!$AA$65="Mayor"),CONCATENATE("R10C",academico!$O$65),"")</f>
        <v/>
      </c>
      <c r="AD25" s="59" t="str">
        <f>IF(AND(academico!$Y$66="Alta",academico!$AA$66="Mayor"),CONCATENATE("R10C",academico!$O$66),"")</f>
        <v/>
      </c>
      <c r="AE25" s="59" t="str">
        <f>IF(AND(academico!$Y$67="Alta",academico!$AA$67="Mayor"),CONCATENATE("R10C",academico!$O$67),"")</f>
        <v/>
      </c>
      <c r="AF25" s="59" t="str">
        <f>IF(AND(academico!$Y$68="Alta",academico!$AA$68="Mayor"),CONCATENATE("R10C",academico!$O$68),"")</f>
        <v/>
      </c>
      <c r="AG25" s="60" t="str">
        <f>IF(AND(academico!$Y$69="Alta",academico!$AA$69="Mayor"),CONCATENATE("R10C",academico!$O$69),"")</f>
        <v/>
      </c>
      <c r="AH25" s="61" t="str">
        <f>IF(AND(academico!$Y$64="Alta",academico!$AA$64="Catastrófico"),CONCATENATE("R10C",academico!$O$64),"")</f>
        <v/>
      </c>
      <c r="AI25" s="62" t="str">
        <f>IF(AND(academico!$Y$65="Alta",academico!$AA$65="Catastrófico"),CONCATENATE("R10C",academico!$O$65),"")</f>
        <v/>
      </c>
      <c r="AJ25" s="62" t="str">
        <f>IF(AND(academico!$Y$66="Alta",academico!$AA$66="Catastrófico"),CONCATENATE("R10C",academico!$O$66),"")</f>
        <v/>
      </c>
      <c r="AK25" s="62" t="str">
        <f>IF(AND(academico!$Y$67="Alta",academico!$AA$67="Catastrófico"),CONCATENATE("R10C",academico!$O$67),"")</f>
        <v/>
      </c>
      <c r="AL25" s="62" t="str">
        <f>IF(AND(academico!$Y$68="Alta",academico!$AA$68="Catastrófico"),CONCATENATE("R10C",academico!$O$68),"")</f>
        <v/>
      </c>
      <c r="AM25" s="63" t="str">
        <f>IF(AND(academico!$Y$69="Alta",academico!$AA$69="Catastrófico"),CONCATENATE("R10C",academico!$O$69),"")</f>
        <v/>
      </c>
      <c r="AN25" s="83"/>
      <c r="AO25" s="347"/>
      <c r="AP25" s="348"/>
      <c r="AQ25" s="348"/>
      <c r="AR25" s="348"/>
      <c r="AS25" s="348"/>
      <c r="AT25" s="349"/>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25">
      <c r="A26" s="83"/>
      <c r="B26" s="255"/>
      <c r="C26" s="255"/>
      <c r="D26" s="256"/>
      <c r="E26" s="350" t="s">
        <v>117</v>
      </c>
      <c r="F26" s="351"/>
      <c r="G26" s="351"/>
      <c r="H26" s="351"/>
      <c r="I26" s="368"/>
      <c r="J26" s="64" t="str">
        <f ca="1">IF(AND(academico!$Y$10="Media",academico!$AA$10="Leve"),CONCATENATE("R1C",academico!$O$10),"")</f>
        <v/>
      </c>
      <c r="K26" s="65" t="str">
        <f ca="1">IF(AND(academico!$Y$11="Media",academico!$AA$11="Leve"),CONCATENATE("R1C",academico!$O$11),"")</f>
        <v/>
      </c>
      <c r="L26" s="65" t="str">
        <f>IF(AND(academico!$Y$12="Media",academico!$AA$12="Leve"),CONCATENATE("R1C",academico!$O$12),"")</f>
        <v/>
      </c>
      <c r="M26" s="65" t="str">
        <f>IF(AND(academico!$Y$13="Media",academico!$AA$13="Leve"),CONCATENATE("R1C",academico!$O$13),"")</f>
        <v/>
      </c>
      <c r="N26" s="65" t="str">
        <f>IF(AND(academico!$Y$14="Media",academico!$AA$14="Leve"),CONCATENATE("R1C",academico!$O$14),"")</f>
        <v/>
      </c>
      <c r="O26" s="66" t="str">
        <f>IF(AND(academico!$Y$15="Media",academico!$AA$15="Leve"),CONCATENATE("R1C",academico!$O$15),"")</f>
        <v/>
      </c>
      <c r="P26" s="64" t="str">
        <f ca="1">IF(AND(academico!$Y$10="Media",academico!$AA$10="Menor"),CONCATENATE("R1C",academico!$O$10),"")</f>
        <v/>
      </c>
      <c r="Q26" s="65" t="str">
        <f ca="1">IF(AND(academico!$Y$11="Media",academico!$AA$11="Menor"),CONCATENATE("R1C",academico!$O$11),"")</f>
        <v/>
      </c>
      <c r="R26" s="65" t="str">
        <f>IF(AND(academico!$Y$12="Media",academico!$AA$12="Menor"),CONCATENATE("R1C",academico!$O$12),"")</f>
        <v/>
      </c>
      <c r="S26" s="65" t="str">
        <f>IF(AND(academico!$Y$13="Media",academico!$AA$13="Menor"),CONCATENATE("R1C",academico!$O$13),"")</f>
        <v/>
      </c>
      <c r="T26" s="65" t="str">
        <f>IF(AND(academico!$Y$14="Media",academico!$AA$14="Menor"),CONCATENATE("R1C",academico!$O$14),"")</f>
        <v/>
      </c>
      <c r="U26" s="66" t="str">
        <f>IF(AND(academico!$Y$15="Media",academico!$AA$15="Menor"),CONCATENATE("R1C",academico!$O$15),"")</f>
        <v/>
      </c>
      <c r="V26" s="64" t="str">
        <f ca="1">IF(AND(academico!$Y$10="Media",academico!$AA$10="Moderado"),CONCATENATE("R1C",academico!$O$10),"")</f>
        <v/>
      </c>
      <c r="W26" s="65" t="str">
        <f ca="1">IF(AND(academico!$Y$11="Media",academico!$AA$11="Moderado"),CONCATENATE("R1C",academico!$O$11),"")</f>
        <v/>
      </c>
      <c r="X26" s="65" t="str">
        <f>IF(AND(academico!$Y$12="Media",academico!$AA$12="Moderado"),CONCATENATE("R1C",academico!$O$12),"")</f>
        <v/>
      </c>
      <c r="Y26" s="65" t="str">
        <f>IF(AND(academico!$Y$13="Media",academico!$AA$13="Moderado"),CONCATENATE("R1C",academico!$O$13),"")</f>
        <v/>
      </c>
      <c r="Z26" s="65" t="str">
        <f>IF(AND(academico!$Y$14="Media",academico!$AA$14="Moderado"),CONCATENATE("R1C",academico!$O$14),"")</f>
        <v/>
      </c>
      <c r="AA26" s="66" t="str">
        <f>IF(AND(academico!$Y$15="Media",academico!$AA$15="Moderado"),CONCATENATE("R1C",academico!$O$15),"")</f>
        <v/>
      </c>
      <c r="AB26" s="46" t="str">
        <f ca="1">IF(AND(academico!$Y$10="Media",academico!$AA$10="Mayor"),CONCATENATE("R1C",academico!$O$10),"")</f>
        <v/>
      </c>
      <c r="AC26" s="47" t="str">
        <f ca="1">IF(AND(academico!$Y$11="Media",academico!$AA$11="Mayor"),CONCATENATE("R1C",academico!$O$11),"")</f>
        <v/>
      </c>
      <c r="AD26" s="47" t="str">
        <f>IF(AND(academico!$Y$12="Media",academico!$AA$12="Mayor"),CONCATENATE("R1C",academico!$O$12),"")</f>
        <v/>
      </c>
      <c r="AE26" s="47" t="str">
        <f>IF(AND(academico!$Y$13="Media",academico!$AA$13="Mayor"),CONCATENATE("R1C",academico!$O$13),"")</f>
        <v/>
      </c>
      <c r="AF26" s="47" t="str">
        <f>IF(AND(academico!$Y$14="Media",academico!$AA$14="Mayor"),CONCATENATE("R1C",academico!$O$14),"")</f>
        <v/>
      </c>
      <c r="AG26" s="48" t="str">
        <f>IF(AND(academico!$Y$15="Media",academico!$AA$15="Mayor"),CONCATENATE("R1C",academico!$O$15),"")</f>
        <v/>
      </c>
      <c r="AH26" s="49" t="str">
        <f ca="1">IF(AND(academico!$Y$10="Media",academico!$AA$10="Catastrófico"),CONCATENATE("R1C",academico!$O$10),"")</f>
        <v/>
      </c>
      <c r="AI26" s="50" t="str">
        <f ca="1">IF(AND(academico!$Y$11="Media",academico!$AA$11="Catastrófico"),CONCATENATE("R1C",academico!$O$11),"")</f>
        <v/>
      </c>
      <c r="AJ26" s="50" t="str">
        <f>IF(AND(academico!$Y$12="Media",academico!$AA$12="Catastrófico"),CONCATENATE("R1C",academico!$O$12),"")</f>
        <v/>
      </c>
      <c r="AK26" s="50" t="str">
        <f>IF(AND(academico!$Y$13="Media",academico!$AA$13="Catastrófico"),CONCATENATE("R1C",academico!$O$13),"")</f>
        <v/>
      </c>
      <c r="AL26" s="50" t="str">
        <f>IF(AND(academico!$Y$14="Media",academico!$AA$14="Catastrófico"),CONCATENATE("R1C",academico!$O$14),"")</f>
        <v/>
      </c>
      <c r="AM26" s="51" t="str">
        <f>IF(AND(academico!$Y$15="Media",academico!$AA$15="Catastrófico"),CONCATENATE("R1C",academico!$O$15),"")</f>
        <v/>
      </c>
      <c r="AN26" s="83"/>
      <c r="AO26" s="380" t="s">
        <v>81</v>
      </c>
      <c r="AP26" s="381"/>
      <c r="AQ26" s="381"/>
      <c r="AR26" s="381"/>
      <c r="AS26" s="381"/>
      <c r="AT26" s="382"/>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25">
      <c r="A27" s="83"/>
      <c r="B27" s="255"/>
      <c r="C27" s="255"/>
      <c r="D27" s="256"/>
      <c r="E27" s="352"/>
      <c r="F27" s="353"/>
      <c r="G27" s="353"/>
      <c r="H27" s="353"/>
      <c r="I27" s="369"/>
      <c r="J27" s="67" t="str">
        <f>IF(AND(academico!$Y$16="Media",academico!$AA$16="Leve"),CONCATENATE("R2C",academico!$O$16),"")</f>
        <v/>
      </c>
      <c r="K27" s="68" t="str">
        <f>IF(AND(academico!$Y$17="Media",academico!$AA$17="Leve"),CONCATENATE("R2C",academico!$O$17),"")</f>
        <v/>
      </c>
      <c r="L27" s="68" t="str">
        <f>IF(AND(academico!$Y$18="Media",academico!$AA$18="Leve"),CONCATENATE("R2C",academico!$O$18),"")</f>
        <v/>
      </c>
      <c r="M27" s="68" t="str">
        <f>IF(AND(academico!$Y$19="Media",academico!$AA$19="Leve"),CONCATENATE("R2C",academico!$O$19),"")</f>
        <v/>
      </c>
      <c r="N27" s="68" t="str">
        <f>IF(AND(academico!$Y$20="Media",academico!$AA$20="Leve"),CONCATENATE("R2C",academico!$O$20),"")</f>
        <v/>
      </c>
      <c r="O27" s="69" t="str">
        <f>IF(AND(academico!$Y$21="Media",academico!$AA$21="Leve"),CONCATENATE("R2C",academico!$O$21),"")</f>
        <v/>
      </c>
      <c r="P27" s="67" t="str">
        <f>IF(AND(academico!$Y$16="Media",academico!$AA$16="Menor"),CONCATENATE("R2C",academico!$O$16),"")</f>
        <v/>
      </c>
      <c r="Q27" s="68" t="str">
        <f>IF(AND(academico!$Y$17="Media",academico!$AA$17="Menor"),CONCATENATE("R2C",academico!$O$17),"")</f>
        <v/>
      </c>
      <c r="R27" s="68" t="str">
        <f>IF(AND(academico!$Y$18="Media",academico!$AA$18="Menor"),CONCATENATE("R2C",academico!$O$18),"")</f>
        <v/>
      </c>
      <c r="S27" s="68" t="str">
        <f>IF(AND(academico!$Y$19="Media",academico!$AA$19="Menor"),CONCATENATE("R2C",academico!$O$19),"")</f>
        <v/>
      </c>
      <c r="T27" s="68" t="str">
        <f>IF(AND(academico!$Y$20="Media",academico!$AA$20="Menor"),CONCATENATE("R2C",academico!$O$20),"")</f>
        <v/>
      </c>
      <c r="U27" s="69" t="str">
        <f>IF(AND(academico!$Y$21="Media",academico!$AA$21="Menor"),CONCATENATE("R2C",academico!$O$21),"")</f>
        <v/>
      </c>
      <c r="V27" s="67" t="str">
        <f>IF(AND(academico!$Y$16="Media",academico!$AA$16="Moderado"),CONCATENATE("R2C",academico!$O$16),"")</f>
        <v/>
      </c>
      <c r="W27" s="68" t="str">
        <f>IF(AND(academico!$Y$17="Media",academico!$AA$17="Moderado"),CONCATENATE("R2C",academico!$O$17),"")</f>
        <v/>
      </c>
      <c r="X27" s="68" t="str">
        <f>IF(AND(academico!$Y$18="Media",academico!$AA$18="Moderado"),CONCATENATE("R2C",academico!$O$18),"")</f>
        <v/>
      </c>
      <c r="Y27" s="68" t="str">
        <f>IF(AND(academico!$Y$19="Media",academico!$AA$19="Moderado"),CONCATENATE("R2C",academico!$O$19),"")</f>
        <v/>
      </c>
      <c r="Z27" s="68" t="str">
        <f>IF(AND(academico!$Y$20="Media",academico!$AA$20="Moderado"),CONCATENATE("R2C",academico!$O$20),"")</f>
        <v/>
      </c>
      <c r="AA27" s="69" t="str">
        <f>IF(AND(academico!$Y$21="Media",academico!$AA$21="Moderado"),CONCATENATE("R2C",academico!$O$21),"")</f>
        <v/>
      </c>
      <c r="AB27" s="52" t="str">
        <f>IF(AND(academico!$Y$16="Media",academico!$AA$16="Mayor"),CONCATENATE("R2C",academico!$O$16),"")</f>
        <v/>
      </c>
      <c r="AC27" s="53" t="str">
        <f>IF(AND(academico!$Y$17="Media",academico!$AA$17="Mayor"),CONCATENATE("R2C",academico!$O$17),"")</f>
        <v/>
      </c>
      <c r="AD27" s="53" t="str">
        <f>IF(AND(academico!$Y$18="Media",academico!$AA$18="Mayor"),CONCATENATE("R2C",academico!$O$18),"")</f>
        <v/>
      </c>
      <c r="AE27" s="53" t="str">
        <f>IF(AND(academico!$Y$19="Media",academico!$AA$19="Mayor"),CONCATENATE("R2C",academico!$O$19),"")</f>
        <v/>
      </c>
      <c r="AF27" s="53" t="str">
        <f>IF(AND(academico!$Y$20="Media",academico!$AA$20="Mayor"),CONCATENATE("R2C",academico!$O$20),"")</f>
        <v/>
      </c>
      <c r="AG27" s="54" t="str">
        <f>IF(AND(academico!$Y$21="Media",academico!$AA$21="Mayor"),CONCATENATE("R2C",academico!$O$21),"")</f>
        <v/>
      </c>
      <c r="AH27" s="55" t="str">
        <f>IF(AND(academico!$Y$16="Media",academico!$AA$16="Catastrófico"),CONCATENATE("R2C",academico!$O$16),"")</f>
        <v/>
      </c>
      <c r="AI27" s="56" t="str">
        <f>IF(AND(academico!$Y$17="Media",academico!$AA$17="Catastrófico"),CONCATENATE("R2C",academico!$O$17),"")</f>
        <v/>
      </c>
      <c r="AJ27" s="56" t="str">
        <f>IF(AND(academico!$Y$18="Media",academico!$AA$18="Catastrófico"),CONCATENATE("R2C",academico!$O$18),"")</f>
        <v/>
      </c>
      <c r="AK27" s="56" t="str">
        <f>IF(AND(academico!$Y$19="Media",academico!$AA$19="Catastrófico"),CONCATENATE("R2C",academico!$O$19),"")</f>
        <v/>
      </c>
      <c r="AL27" s="56" t="str">
        <f>IF(AND(academico!$Y$20="Media",academico!$AA$20="Catastrófico"),CONCATENATE("R2C",academico!$O$20),"")</f>
        <v/>
      </c>
      <c r="AM27" s="57" t="str">
        <f>IF(AND(academico!$Y$21="Media",academico!$AA$21="Catastrófico"),CONCATENATE("R2C",academico!$O$21),"")</f>
        <v/>
      </c>
      <c r="AN27" s="83"/>
      <c r="AO27" s="383"/>
      <c r="AP27" s="384"/>
      <c r="AQ27" s="384"/>
      <c r="AR27" s="384"/>
      <c r="AS27" s="384"/>
      <c r="AT27" s="385"/>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25">
      <c r="A28" s="83"/>
      <c r="B28" s="255"/>
      <c r="C28" s="255"/>
      <c r="D28" s="256"/>
      <c r="E28" s="354"/>
      <c r="F28" s="353"/>
      <c r="G28" s="353"/>
      <c r="H28" s="353"/>
      <c r="I28" s="369"/>
      <c r="J28" s="67" t="str">
        <f>IF(AND(academico!$Y$22="Media",academico!$AA$22="Leve"),CONCATENATE("R3C",academico!$O$22),"")</f>
        <v/>
      </c>
      <c r="K28" s="68" t="str">
        <f>IF(AND(academico!$Y$23="Media",academico!$AA$23="Leve"),CONCATENATE("R3C",academico!$O$23),"")</f>
        <v/>
      </c>
      <c r="L28" s="68" t="str">
        <f>IF(AND(academico!$Y$24="Media",academico!$AA$24="Leve"),CONCATENATE("R3C",academico!$O$24),"")</f>
        <v/>
      </c>
      <c r="M28" s="68" t="str">
        <f>IF(AND(academico!$Y$25="Media",academico!$AA$25="Leve"),CONCATENATE("R3C",academico!$O$25),"")</f>
        <v/>
      </c>
      <c r="N28" s="68" t="str">
        <f>IF(AND(academico!$Y$26="Media",academico!$AA$26="Leve"),CONCATENATE("R3C",academico!$O$26),"")</f>
        <v/>
      </c>
      <c r="O28" s="69" t="str">
        <f>IF(AND(academico!$Y$27="Media",academico!$AA$27="Leve"),CONCATENATE("R3C",academico!$O$27),"")</f>
        <v/>
      </c>
      <c r="P28" s="67" t="str">
        <f>IF(AND(academico!$Y$22="Media",academico!$AA$22="Menor"),CONCATENATE("R3C",academico!$O$22),"")</f>
        <v/>
      </c>
      <c r="Q28" s="68" t="str">
        <f>IF(AND(academico!$Y$23="Media",academico!$AA$23="Menor"),CONCATENATE("R3C",academico!$O$23),"")</f>
        <v/>
      </c>
      <c r="R28" s="68" t="str">
        <f>IF(AND(academico!$Y$24="Media",academico!$AA$24="Menor"),CONCATENATE("R3C",academico!$O$24),"")</f>
        <v/>
      </c>
      <c r="S28" s="68" t="str">
        <f>IF(AND(academico!$Y$25="Media",academico!$AA$25="Menor"),CONCATENATE("R3C",academico!$O$25),"")</f>
        <v/>
      </c>
      <c r="T28" s="68" t="str">
        <f>IF(AND(academico!$Y$26="Media",academico!$AA$26="Menor"),CONCATENATE("R3C",academico!$O$26),"")</f>
        <v/>
      </c>
      <c r="U28" s="69" t="str">
        <f>IF(AND(academico!$Y$27="Media",academico!$AA$27="Menor"),CONCATENATE("R3C",academico!$O$27),"")</f>
        <v/>
      </c>
      <c r="V28" s="67" t="str">
        <f>IF(AND(academico!$Y$22="Media",academico!$AA$22="Moderado"),CONCATENATE("R3C",academico!$O$22),"")</f>
        <v/>
      </c>
      <c r="W28" s="68" t="str">
        <f>IF(AND(academico!$Y$23="Media",academico!$AA$23="Moderado"),CONCATENATE("R3C",academico!$O$23),"")</f>
        <v/>
      </c>
      <c r="X28" s="68" t="str">
        <f>IF(AND(academico!$Y$24="Media",academico!$AA$24="Moderado"),CONCATENATE("R3C",academico!$O$24),"")</f>
        <v/>
      </c>
      <c r="Y28" s="68" t="str">
        <f>IF(AND(academico!$Y$25="Media",academico!$AA$25="Moderado"),CONCATENATE("R3C",academico!$O$25),"")</f>
        <v/>
      </c>
      <c r="Z28" s="68" t="str">
        <f>IF(AND(academico!$Y$26="Media",academico!$AA$26="Moderado"),CONCATENATE("R3C",academico!$O$26),"")</f>
        <v/>
      </c>
      <c r="AA28" s="69" t="str">
        <f>IF(AND(academico!$Y$27="Media",academico!$AA$27="Moderado"),CONCATENATE("R3C",academico!$O$27),"")</f>
        <v/>
      </c>
      <c r="AB28" s="52" t="str">
        <f>IF(AND(academico!$Y$22="Media",academico!$AA$22="Mayor"),CONCATENATE("R3C",academico!$O$22),"")</f>
        <v/>
      </c>
      <c r="AC28" s="53" t="str">
        <f>IF(AND(academico!$Y$23="Media",academico!$AA$23="Mayor"),CONCATENATE("R3C",academico!$O$23),"")</f>
        <v/>
      </c>
      <c r="AD28" s="53" t="str">
        <f>IF(AND(academico!$Y$24="Media",academico!$AA$24="Mayor"),CONCATENATE("R3C",academico!$O$24),"")</f>
        <v/>
      </c>
      <c r="AE28" s="53" t="str">
        <f>IF(AND(academico!$Y$25="Media",academico!$AA$25="Mayor"),CONCATENATE("R3C",academico!$O$25),"")</f>
        <v/>
      </c>
      <c r="AF28" s="53" t="str">
        <f>IF(AND(academico!$Y$26="Media",academico!$AA$26="Mayor"),CONCATENATE("R3C",academico!$O$26),"")</f>
        <v/>
      </c>
      <c r="AG28" s="54" t="str">
        <f>IF(AND(academico!$Y$27="Media",academico!$AA$27="Mayor"),CONCATENATE("R3C",academico!$O$27),"")</f>
        <v/>
      </c>
      <c r="AH28" s="55" t="str">
        <f>IF(AND(academico!$Y$22="Media",academico!$AA$22="Catastrófico"),CONCATENATE("R3C",academico!$O$22),"")</f>
        <v/>
      </c>
      <c r="AI28" s="56" t="str">
        <f>IF(AND(academico!$Y$23="Media",academico!$AA$23="Catastrófico"),CONCATENATE("R3C",academico!$O$23),"")</f>
        <v/>
      </c>
      <c r="AJ28" s="56" t="str">
        <f>IF(AND(academico!$Y$24="Media",academico!$AA$24="Catastrófico"),CONCATENATE("R3C",academico!$O$24),"")</f>
        <v/>
      </c>
      <c r="AK28" s="56" t="str">
        <f>IF(AND(academico!$Y$25="Media",academico!$AA$25="Catastrófico"),CONCATENATE("R3C",academico!$O$25),"")</f>
        <v/>
      </c>
      <c r="AL28" s="56" t="str">
        <f>IF(AND(academico!$Y$26="Media",academico!$AA$26="Catastrófico"),CONCATENATE("R3C",academico!$O$26),"")</f>
        <v/>
      </c>
      <c r="AM28" s="57" t="str">
        <f>IF(AND(academico!$Y$27="Media",academico!$AA$27="Catastrófico"),CONCATENATE("R3C",academico!$O$27),"")</f>
        <v/>
      </c>
      <c r="AN28" s="83"/>
      <c r="AO28" s="383"/>
      <c r="AP28" s="384"/>
      <c r="AQ28" s="384"/>
      <c r="AR28" s="384"/>
      <c r="AS28" s="384"/>
      <c r="AT28" s="385"/>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25">
      <c r="A29" s="83"/>
      <c r="B29" s="255"/>
      <c r="C29" s="255"/>
      <c r="D29" s="256"/>
      <c r="E29" s="354"/>
      <c r="F29" s="353"/>
      <c r="G29" s="353"/>
      <c r="H29" s="353"/>
      <c r="I29" s="369"/>
      <c r="J29" s="67" t="str">
        <f>IF(AND(academico!$Y$28="Media",academico!$AA$28="Leve"),CONCATENATE("R4C",academico!$O$28),"")</f>
        <v/>
      </c>
      <c r="K29" s="68" t="str">
        <f>IF(AND(academico!$Y$29="Media",academico!$AA$29="Leve"),CONCATENATE("R4C",academico!$O$29),"")</f>
        <v/>
      </c>
      <c r="L29" s="68" t="str">
        <f>IF(AND(academico!$Y$30="Media",academico!$AA$30="Leve"),CONCATENATE("R4C",academico!$O$30),"")</f>
        <v/>
      </c>
      <c r="M29" s="68" t="str">
        <f>IF(AND(academico!$Y$31="Media",academico!$AA$31="Leve"),CONCATENATE("R4C",academico!$O$31),"")</f>
        <v/>
      </c>
      <c r="N29" s="68" t="str">
        <f>IF(AND(academico!$Y$32="Media",academico!$AA$32="Leve"),CONCATENATE("R4C",academico!$O$32),"")</f>
        <v/>
      </c>
      <c r="O29" s="69" t="str">
        <f>IF(AND(academico!$Y$33="Media",academico!$AA$33="Leve"),CONCATENATE("R4C",academico!$O$33),"")</f>
        <v/>
      </c>
      <c r="P29" s="67" t="str">
        <f>IF(AND(academico!$Y$28="Media",academico!$AA$28="Menor"),CONCATENATE("R4C",academico!$O$28),"")</f>
        <v/>
      </c>
      <c r="Q29" s="68" t="str">
        <f>IF(AND(academico!$Y$29="Media",academico!$AA$29="Menor"),CONCATENATE("R4C",academico!$O$29),"")</f>
        <v/>
      </c>
      <c r="R29" s="68" t="str">
        <f>IF(AND(academico!$Y$30="Media",academico!$AA$30="Menor"),CONCATENATE("R4C",academico!$O$30),"")</f>
        <v/>
      </c>
      <c r="S29" s="68" t="str">
        <f>IF(AND(academico!$Y$31="Media",academico!$AA$31="Menor"),CONCATENATE("R4C",academico!$O$31),"")</f>
        <v/>
      </c>
      <c r="T29" s="68" t="str">
        <f>IF(AND(academico!$Y$32="Media",academico!$AA$32="Menor"),CONCATENATE("R4C",academico!$O$32),"")</f>
        <v/>
      </c>
      <c r="U29" s="69" t="str">
        <f>IF(AND(academico!$Y$33="Media",academico!$AA$33="Menor"),CONCATENATE("R4C",academico!$O$33),"")</f>
        <v/>
      </c>
      <c r="V29" s="67" t="str">
        <f>IF(AND(academico!$Y$28="Media",academico!$AA$28="Moderado"),CONCATENATE("R4C",academico!$O$28),"")</f>
        <v/>
      </c>
      <c r="W29" s="68" t="str">
        <f>IF(AND(academico!$Y$29="Media",academico!$AA$29="Moderado"),CONCATENATE("R4C",academico!$O$29),"")</f>
        <v/>
      </c>
      <c r="X29" s="68" t="str">
        <f>IF(AND(academico!$Y$30="Media",academico!$AA$30="Moderado"),CONCATENATE("R4C",academico!$O$30),"")</f>
        <v/>
      </c>
      <c r="Y29" s="68" t="str">
        <f>IF(AND(academico!$Y$31="Media",academico!$AA$31="Moderado"),CONCATENATE("R4C",academico!$O$31),"")</f>
        <v/>
      </c>
      <c r="Z29" s="68" t="str">
        <f>IF(AND(academico!$Y$32="Media",academico!$AA$32="Moderado"),CONCATENATE("R4C",academico!$O$32),"")</f>
        <v/>
      </c>
      <c r="AA29" s="69" t="str">
        <f>IF(AND(academico!$Y$33="Media",academico!$AA$33="Moderado"),CONCATENATE("R4C",academico!$O$33),"")</f>
        <v/>
      </c>
      <c r="AB29" s="52" t="str">
        <f>IF(AND(academico!$Y$28="Media",academico!$AA$28="Mayor"),CONCATENATE("R4C",academico!$O$28),"")</f>
        <v/>
      </c>
      <c r="AC29" s="53" t="str">
        <f>IF(AND(academico!$Y$29="Media",academico!$AA$29="Mayor"),CONCATENATE("R4C",academico!$O$29),"")</f>
        <v/>
      </c>
      <c r="AD29" s="53" t="str">
        <f>IF(AND(academico!$Y$30="Media",academico!$AA$30="Mayor"),CONCATENATE("R4C",academico!$O$30),"")</f>
        <v/>
      </c>
      <c r="AE29" s="53" t="str">
        <f>IF(AND(academico!$Y$31="Media",academico!$AA$31="Mayor"),CONCATENATE("R4C",academico!$O$31),"")</f>
        <v/>
      </c>
      <c r="AF29" s="53" t="str">
        <f>IF(AND(academico!$Y$32="Media",academico!$AA$32="Mayor"),CONCATENATE("R4C",academico!$O$32),"")</f>
        <v/>
      </c>
      <c r="AG29" s="54" t="str">
        <f>IF(AND(academico!$Y$33="Media",academico!$AA$33="Mayor"),CONCATENATE("R4C",academico!$O$33),"")</f>
        <v/>
      </c>
      <c r="AH29" s="55" t="str">
        <f>IF(AND(academico!$Y$28="Media",academico!$AA$28="Catastrófico"),CONCATENATE("R4C",academico!$O$28),"")</f>
        <v/>
      </c>
      <c r="AI29" s="56" t="str">
        <f>IF(AND(academico!$Y$29="Media",academico!$AA$29="Catastrófico"),CONCATENATE("R4C",academico!$O$29),"")</f>
        <v/>
      </c>
      <c r="AJ29" s="56" t="str">
        <f>IF(AND(academico!$Y$30="Media",academico!$AA$30="Catastrófico"),CONCATENATE("R4C",academico!$O$30),"")</f>
        <v/>
      </c>
      <c r="AK29" s="56" t="str">
        <f>IF(AND(academico!$Y$31="Media",academico!$AA$31="Catastrófico"),CONCATENATE("R4C",academico!$O$31),"")</f>
        <v/>
      </c>
      <c r="AL29" s="56" t="str">
        <f>IF(AND(academico!$Y$32="Media",academico!$AA$32="Catastrófico"),CONCATENATE("R4C",academico!$O$32),"")</f>
        <v/>
      </c>
      <c r="AM29" s="57" t="str">
        <f>IF(AND(academico!$Y$33="Media",academico!$AA$33="Catastrófico"),CONCATENATE("R4C",academico!$O$33),"")</f>
        <v/>
      </c>
      <c r="AN29" s="83"/>
      <c r="AO29" s="383"/>
      <c r="AP29" s="384"/>
      <c r="AQ29" s="384"/>
      <c r="AR29" s="384"/>
      <c r="AS29" s="384"/>
      <c r="AT29" s="385"/>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25">
      <c r="A30" s="83"/>
      <c r="B30" s="255"/>
      <c r="C30" s="255"/>
      <c r="D30" s="256"/>
      <c r="E30" s="354"/>
      <c r="F30" s="353"/>
      <c r="G30" s="353"/>
      <c r="H30" s="353"/>
      <c r="I30" s="369"/>
      <c r="J30" s="67" t="str">
        <f>IF(AND(academico!$Y$34="Media",academico!$AA$34="Leve"),CONCATENATE("R5C",academico!$O$34),"")</f>
        <v/>
      </c>
      <c r="K30" s="68" t="str">
        <f>IF(AND(academico!$Y$35="Media",academico!$AA$35="Leve"),CONCATENATE("R5C",academico!$O$35),"")</f>
        <v/>
      </c>
      <c r="L30" s="68" t="str">
        <f>IF(AND(academico!$Y$36="Media",academico!$AA$36="Leve"),CONCATENATE("R5C",academico!$O$36),"")</f>
        <v/>
      </c>
      <c r="M30" s="68" t="str">
        <f>IF(AND(academico!$Y$37="Media",academico!$AA$37="Leve"),CONCATENATE("R5C",academico!$O$37),"")</f>
        <v/>
      </c>
      <c r="N30" s="68" t="str">
        <f>IF(AND(academico!$Y$38="Media",academico!$AA$38="Leve"),CONCATENATE("R5C",academico!$O$38),"")</f>
        <v/>
      </c>
      <c r="O30" s="69" t="str">
        <f>IF(AND(academico!$Y$39="Media",academico!$AA$39="Leve"),CONCATENATE("R5C",academico!$O$39),"")</f>
        <v/>
      </c>
      <c r="P30" s="67" t="str">
        <f>IF(AND(academico!$Y$34="Media",academico!$AA$34="Menor"),CONCATENATE("R5C",academico!$O$34),"")</f>
        <v/>
      </c>
      <c r="Q30" s="68" t="str">
        <f>IF(AND(academico!$Y$35="Media",academico!$AA$35="Menor"),CONCATENATE("R5C",academico!$O$35),"")</f>
        <v/>
      </c>
      <c r="R30" s="68" t="str">
        <f>IF(AND(academico!$Y$36="Media",academico!$AA$36="Menor"),CONCATENATE("R5C",academico!$O$36),"")</f>
        <v/>
      </c>
      <c r="S30" s="68" t="str">
        <f>IF(AND(academico!$Y$37="Media",academico!$AA$37="Menor"),CONCATENATE("R5C",academico!$O$37),"")</f>
        <v/>
      </c>
      <c r="T30" s="68" t="str">
        <f>IF(AND(academico!$Y$38="Media",academico!$AA$38="Menor"),CONCATENATE("R5C",academico!$O$38),"")</f>
        <v/>
      </c>
      <c r="U30" s="69" t="str">
        <f>IF(AND(academico!$Y$39="Media",academico!$AA$39="Menor"),CONCATENATE("R5C",academico!$O$39),"")</f>
        <v/>
      </c>
      <c r="V30" s="67" t="str">
        <f>IF(AND(academico!$Y$34="Media",academico!$AA$34="Moderado"),CONCATENATE("R5C",academico!$O$34),"")</f>
        <v/>
      </c>
      <c r="W30" s="68" t="str">
        <f>IF(AND(academico!$Y$35="Media",academico!$AA$35="Moderado"),CONCATENATE("R5C",academico!$O$35),"")</f>
        <v/>
      </c>
      <c r="X30" s="68" t="str">
        <f>IF(AND(academico!$Y$36="Media",academico!$AA$36="Moderado"),CONCATENATE("R5C",academico!$O$36),"")</f>
        <v/>
      </c>
      <c r="Y30" s="68" t="str">
        <f>IF(AND(academico!$Y$37="Media",academico!$AA$37="Moderado"),CONCATENATE("R5C",academico!$O$37),"")</f>
        <v/>
      </c>
      <c r="Z30" s="68" t="str">
        <f>IF(AND(academico!$Y$38="Media",academico!$AA$38="Moderado"),CONCATENATE("R5C",academico!$O$38),"")</f>
        <v/>
      </c>
      <c r="AA30" s="69" t="str">
        <f>IF(AND(academico!$Y$39="Media",academico!$AA$39="Moderado"),CONCATENATE("R5C",academico!$O$39),"")</f>
        <v/>
      </c>
      <c r="AB30" s="52" t="str">
        <f>IF(AND(academico!$Y$34="Media",academico!$AA$34="Mayor"),CONCATENATE("R5C",academico!$O$34),"")</f>
        <v/>
      </c>
      <c r="AC30" s="53" t="str">
        <f>IF(AND(academico!$Y$35="Media",academico!$AA$35="Mayor"),CONCATENATE("R5C",academico!$O$35),"")</f>
        <v/>
      </c>
      <c r="AD30" s="53" t="str">
        <f>IF(AND(academico!$Y$36="Media",academico!$AA$36="Mayor"),CONCATENATE("R5C",academico!$O$36),"")</f>
        <v/>
      </c>
      <c r="AE30" s="53" t="str">
        <f>IF(AND(academico!$Y$37="Media",academico!$AA$37="Mayor"),CONCATENATE("R5C",academico!$O$37),"")</f>
        <v/>
      </c>
      <c r="AF30" s="53" t="str">
        <f>IF(AND(academico!$Y$38="Media",academico!$AA$38="Mayor"),CONCATENATE("R5C",academico!$O$38),"")</f>
        <v/>
      </c>
      <c r="AG30" s="54" t="str">
        <f>IF(AND(academico!$Y$39="Media",academico!$AA$39="Mayor"),CONCATENATE("R5C",academico!$O$39),"")</f>
        <v/>
      </c>
      <c r="AH30" s="55" t="str">
        <f>IF(AND(academico!$Y$34="Media",academico!$AA$34="Catastrófico"),CONCATENATE("R5C",academico!$O$34),"")</f>
        <v/>
      </c>
      <c r="AI30" s="56" t="str">
        <f>IF(AND(academico!$Y$35="Media",academico!$AA$35="Catastrófico"),CONCATENATE("R5C",academico!$O$35),"")</f>
        <v/>
      </c>
      <c r="AJ30" s="56" t="str">
        <f>IF(AND(academico!$Y$36="Media",academico!$AA$36="Catastrófico"),CONCATENATE("R5C",academico!$O$36),"")</f>
        <v/>
      </c>
      <c r="AK30" s="56" t="str">
        <f>IF(AND(academico!$Y$37="Media",academico!$AA$37="Catastrófico"),CONCATENATE("R5C",academico!$O$37),"")</f>
        <v/>
      </c>
      <c r="AL30" s="56" t="str">
        <f>IF(AND(academico!$Y$38="Media",academico!$AA$38="Catastrófico"),CONCATENATE("R5C",academico!$O$38),"")</f>
        <v/>
      </c>
      <c r="AM30" s="57" t="str">
        <f>IF(AND(academico!$Y$39="Media",academico!$AA$39="Catastrófico"),CONCATENATE("R5C",academico!$O$39),"")</f>
        <v/>
      </c>
      <c r="AN30" s="83"/>
      <c r="AO30" s="383"/>
      <c r="AP30" s="384"/>
      <c r="AQ30" s="384"/>
      <c r="AR30" s="384"/>
      <c r="AS30" s="384"/>
      <c r="AT30" s="385"/>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25">
      <c r="A31" s="83"/>
      <c r="B31" s="255"/>
      <c r="C31" s="255"/>
      <c r="D31" s="256"/>
      <c r="E31" s="354"/>
      <c r="F31" s="353"/>
      <c r="G31" s="353"/>
      <c r="H31" s="353"/>
      <c r="I31" s="369"/>
      <c r="J31" s="67" t="str">
        <f>IF(AND(academico!$Y$40="Media",academico!$AA$40="Leve"),CONCATENATE("R6C",academico!$O$40),"")</f>
        <v/>
      </c>
      <c r="K31" s="68" t="str">
        <f>IF(AND(academico!$Y$41="Media",academico!$AA$41="Leve"),CONCATENATE("R6C",academico!$O$41),"")</f>
        <v/>
      </c>
      <c r="L31" s="68" t="str">
        <f>IF(AND(academico!$Y$42="Media",academico!$AA$42="Leve"),CONCATENATE("R6C",academico!$O$42),"")</f>
        <v/>
      </c>
      <c r="M31" s="68" t="str">
        <f>IF(AND(academico!$Y$43="Media",academico!$AA$43="Leve"),CONCATENATE("R6C",academico!$O$43),"")</f>
        <v/>
      </c>
      <c r="N31" s="68" t="str">
        <f>IF(AND(academico!$Y$44="Media",academico!$AA$44="Leve"),CONCATENATE("R6C",academico!$O$44),"")</f>
        <v/>
      </c>
      <c r="O31" s="69" t="str">
        <f>IF(AND(academico!$Y$45="Media",academico!$AA$45="Leve"),CONCATENATE("R6C",academico!$O$45),"")</f>
        <v/>
      </c>
      <c r="P31" s="67" t="str">
        <f>IF(AND(academico!$Y$40="Media",academico!$AA$40="Menor"),CONCATENATE("R6C",academico!$O$40),"")</f>
        <v/>
      </c>
      <c r="Q31" s="68" t="str">
        <f>IF(AND(academico!$Y$41="Media",academico!$AA$41="Menor"),CONCATENATE("R6C",academico!$O$41),"")</f>
        <v/>
      </c>
      <c r="R31" s="68" t="str">
        <f>IF(AND(academico!$Y$42="Media",academico!$AA$42="Menor"),CONCATENATE("R6C",academico!$O$42),"")</f>
        <v/>
      </c>
      <c r="S31" s="68" t="str">
        <f>IF(AND(academico!$Y$43="Media",academico!$AA$43="Menor"),CONCATENATE("R6C",academico!$O$43),"")</f>
        <v/>
      </c>
      <c r="T31" s="68" t="str">
        <f>IF(AND(academico!$Y$44="Media",academico!$AA$44="Menor"),CONCATENATE("R6C",academico!$O$44),"")</f>
        <v/>
      </c>
      <c r="U31" s="69" t="str">
        <f>IF(AND(academico!$Y$45="Media",academico!$AA$45="Menor"),CONCATENATE("R6C",academico!$O$45),"")</f>
        <v/>
      </c>
      <c r="V31" s="67" t="str">
        <f>IF(AND(academico!$Y$40="Media",academico!$AA$40="Moderado"),CONCATENATE("R6C",academico!$O$40),"")</f>
        <v/>
      </c>
      <c r="W31" s="68" t="str">
        <f>IF(AND(academico!$Y$41="Media",academico!$AA$41="Moderado"),CONCATENATE("R6C",academico!$O$41),"")</f>
        <v/>
      </c>
      <c r="X31" s="68" t="str">
        <f>IF(AND(academico!$Y$42="Media",academico!$AA$42="Moderado"),CONCATENATE("R6C",academico!$O$42),"")</f>
        <v/>
      </c>
      <c r="Y31" s="68" t="str">
        <f>IF(AND(academico!$Y$43="Media",academico!$AA$43="Moderado"),CONCATENATE("R6C",academico!$O$43),"")</f>
        <v/>
      </c>
      <c r="Z31" s="68" t="str">
        <f>IF(AND(academico!$Y$44="Media",academico!$AA$44="Moderado"),CONCATENATE("R6C",academico!$O$44),"")</f>
        <v/>
      </c>
      <c r="AA31" s="69" t="str">
        <f>IF(AND(academico!$Y$45="Media",academico!$AA$45="Moderado"),CONCATENATE("R6C",academico!$O$45),"")</f>
        <v/>
      </c>
      <c r="AB31" s="52" t="str">
        <f>IF(AND(academico!$Y$40="Media",academico!$AA$40="Mayor"),CONCATENATE("R6C",academico!$O$40),"")</f>
        <v/>
      </c>
      <c r="AC31" s="53" t="str">
        <f>IF(AND(academico!$Y$41="Media",academico!$AA$41="Mayor"),CONCATENATE("R6C",academico!$O$41),"")</f>
        <v/>
      </c>
      <c r="AD31" s="53" t="str">
        <f>IF(AND(academico!$Y$42="Media",academico!$AA$42="Mayor"),CONCATENATE("R6C",academico!$O$42),"")</f>
        <v/>
      </c>
      <c r="AE31" s="53" t="str">
        <f>IF(AND(academico!$Y$43="Media",academico!$AA$43="Mayor"),CONCATENATE("R6C",academico!$O$43),"")</f>
        <v/>
      </c>
      <c r="AF31" s="53" t="str">
        <f>IF(AND(academico!$Y$44="Media",academico!$AA$44="Mayor"),CONCATENATE("R6C",academico!$O$44),"")</f>
        <v/>
      </c>
      <c r="AG31" s="54" t="str">
        <f>IF(AND(academico!$Y$45="Media",academico!$AA$45="Mayor"),CONCATENATE("R6C",academico!$O$45),"")</f>
        <v/>
      </c>
      <c r="AH31" s="55" t="str">
        <f>IF(AND(academico!$Y$40="Media",academico!$AA$40="Catastrófico"),CONCATENATE("R6C",academico!$O$40),"")</f>
        <v/>
      </c>
      <c r="AI31" s="56" t="str">
        <f>IF(AND(academico!$Y$41="Media",academico!$AA$41="Catastrófico"),CONCATENATE("R6C",academico!$O$41),"")</f>
        <v/>
      </c>
      <c r="AJ31" s="56" t="str">
        <f>IF(AND(academico!$Y$42="Media",academico!$AA$42="Catastrófico"),CONCATENATE("R6C",academico!$O$42),"")</f>
        <v/>
      </c>
      <c r="AK31" s="56" t="str">
        <f>IF(AND(academico!$Y$43="Media",academico!$AA$43="Catastrófico"),CONCATENATE("R6C",academico!$O$43),"")</f>
        <v/>
      </c>
      <c r="AL31" s="56" t="str">
        <f>IF(AND(academico!$Y$44="Media",academico!$AA$44="Catastrófico"),CONCATENATE("R6C",academico!$O$44),"")</f>
        <v/>
      </c>
      <c r="AM31" s="57" t="str">
        <f>IF(AND(academico!$Y$45="Media",academico!$AA$45="Catastrófico"),CONCATENATE("R6C",academico!$O$45),"")</f>
        <v/>
      </c>
      <c r="AN31" s="83"/>
      <c r="AO31" s="383"/>
      <c r="AP31" s="384"/>
      <c r="AQ31" s="384"/>
      <c r="AR31" s="384"/>
      <c r="AS31" s="384"/>
      <c r="AT31" s="385"/>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25">
      <c r="A32" s="83"/>
      <c r="B32" s="255"/>
      <c r="C32" s="255"/>
      <c r="D32" s="256"/>
      <c r="E32" s="354"/>
      <c r="F32" s="353"/>
      <c r="G32" s="353"/>
      <c r="H32" s="353"/>
      <c r="I32" s="369"/>
      <c r="J32" s="67" t="str">
        <f>IF(AND(academico!$Y$46="Media",academico!$AA$46="Leve"),CONCATENATE("R7C",academico!$O$46),"")</f>
        <v/>
      </c>
      <c r="K32" s="68" t="str">
        <f>IF(AND(academico!$Y$47="Media",academico!$AA$47="Leve"),CONCATENATE("R7C",academico!$O$47),"")</f>
        <v/>
      </c>
      <c r="L32" s="68" t="str">
        <f>IF(AND(academico!$Y$48="Media",academico!$AA$48="Leve"),CONCATENATE("R7C",academico!$O$48),"")</f>
        <v/>
      </c>
      <c r="M32" s="68" t="str">
        <f>IF(AND(academico!$Y$49="Media",academico!$AA$49="Leve"),CONCATENATE("R7C",academico!$O$49),"")</f>
        <v/>
      </c>
      <c r="N32" s="68" t="str">
        <f>IF(AND(academico!$Y$50="Media",academico!$AA$50="Leve"),CONCATENATE("R7C",academico!$O$50),"")</f>
        <v/>
      </c>
      <c r="O32" s="69" t="str">
        <f>IF(AND(academico!$Y$51="Media",academico!$AA$51="Leve"),CONCATENATE("R7C",academico!$O$51),"")</f>
        <v/>
      </c>
      <c r="P32" s="67" t="str">
        <f>IF(AND(academico!$Y$46="Media",academico!$AA$46="Menor"),CONCATENATE("R7C",academico!$O$46),"")</f>
        <v/>
      </c>
      <c r="Q32" s="68" t="str">
        <f>IF(AND(academico!$Y$47="Media",academico!$AA$47="Menor"),CONCATENATE("R7C",academico!$O$47),"")</f>
        <v/>
      </c>
      <c r="R32" s="68" t="str">
        <f>IF(AND(academico!$Y$48="Media",academico!$AA$48="Menor"),CONCATENATE("R7C",academico!$O$48),"")</f>
        <v/>
      </c>
      <c r="S32" s="68" t="str">
        <f>IF(AND(academico!$Y$49="Media",academico!$AA$49="Menor"),CONCATENATE("R7C",academico!$O$49),"")</f>
        <v/>
      </c>
      <c r="T32" s="68" t="str">
        <f>IF(AND(academico!$Y$50="Media",academico!$AA$50="Menor"),CONCATENATE("R7C",academico!$O$50),"")</f>
        <v/>
      </c>
      <c r="U32" s="69" t="str">
        <f>IF(AND(academico!$Y$51="Media",academico!$AA$51="Menor"),CONCATENATE("R7C",academico!$O$51),"")</f>
        <v/>
      </c>
      <c r="V32" s="67" t="str">
        <f>IF(AND(academico!$Y$46="Media",academico!$AA$46="Moderado"),CONCATENATE("R7C",academico!$O$46),"")</f>
        <v/>
      </c>
      <c r="W32" s="68" t="str">
        <f>IF(AND(academico!$Y$47="Media",academico!$AA$47="Moderado"),CONCATENATE("R7C",academico!$O$47),"")</f>
        <v/>
      </c>
      <c r="X32" s="68" t="str">
        <f>IF(AND(academico!$Y$48="Media",academico!$AA$48="Moderado"),CONCATENATE("R7C",academico!$O$48),"")</f>
        <v/>
      </c>
      <c r="Y32" s="68" t="str">
        <f>IF(AND(academico!$Y$49="Media",academico!$AA$49="Moderado"),CONCATENATE("R7C",academico!$O$49),"")</f>
        <v/>
      </c>
      <c r="Z32" s="68" t="str">
        <f>IF(AND(academico!$Y$50="Media",academico!$AA$50="Moderado"),CONCATENATE("R7C",academico!$O$50),"")</f>
        <v/>
      </c>
      <c r="AA32" s="69" t="str">
        <f>IF(AND(academico!$Y$51="Media",academico!$AA$51="Moderado"),CONCATENATE("R7C",academico!$O$51),"")</f>
        <v/>
      </c>
      <c r="AB32" s="52" t="str">
        <f>IF(AND(academico!$Y$46="Media",academico!$AA$46="Mayor"),CONCATENATE("R7C",academico!$O$46),"")</f>
        <v/>
      </c>
      <c r="AC32" s="53" t="str">
        <f>IF(AND(academico!$Y$47="Media",academico!$AA$47="Mayor"),CONCATENATE("R7C",academico!$O$47),"")</f>
        <v/>
      </c>
      <c r="AD32" s="53" t="str">
        <f>IF(AND(academico!$Y$48="Media",academico!$AA$48="Mayor"),CONCATENATE("R7C",academico!$O$48),"")</f>
        <v/>
      </c>
      <c r="AE32" s="53" t="str">
        <f>IF(AND(academico!$Y$49="Media",academico!$AA$49="Mayor"),CONCATENATE("R7C",academico!$O$49),"")</f>
        <v/>
      </c>
      <c r="AF32" s="53" t="str">
        <f>IF(AND(academico!$Y$50="Media",academico!$AA$50="Mayor"),CONCATENATE("R7C",academico!$O$50),"")</f>
        <v/>
      </c>
      <c r="AG32" s="54" t="str">
        <f>IF(AND(academico!$Y$51="Media",academico!$AA$51="Mayor"),CONCATENATE("R7C",academico!$O$51),"")</f>
        <v/>
      </c>
      <c r="AH32" s="55" t="str">
        <f>IF(AND(academico!$Y$46="Media",academico!$AA$46="Catastrófico"),CONCATENATE("R7C",academico!$O$46),"")</f>
        <v/>
      </c>
      <c r="AI32" s="56" t="str">
        <f>IF(AND(academico!$Y$47="Media",academico!$AA$47="Catastrófico"),CONCATENATE("R7C",academico!$O$47),"")</f>
        <v/>
      </c>
      <c r="AJ32" s="56" t="str">
        <f>IF(AND(academico!$Y$48="Media",academico!$AA$48="Catastrófico"),CONCATENATE("R7C",academico!$O$48),"")</f>
        <v/>
      </c>
      <c r="AK32" s="56" t="str">
        <f>IF(AND(academico!$Y$49="Media",academico!$AA$49="Catastrófico"),CONCATENATE("R7C",academico!$O$49),"")</f>
        <v/>
      </c>
      <c r="AL32" s="56" t="str">
        <f>IF(AND(academico!$Y$50="Media",academico!$AA$50="Catastrófico"),CONCATENATE("R7C",academico!$O$50),"")</f>
        <v/>
      </c>
      <c r="AM32" s="57" t="str">
        <f>IF(AND(academico!$Y$51="Media",academico!$AA$51="Catastrófico"),CONCATENATE("R7C",academico!$O$51),"")</f>
        <v/>
      </c>
      <c r="AN32" s="83"/>
      <c r="AO32" s="383"/>
      <c r="AP32" s="384"/>
      <c r="AQ32" s="384"/>
      <c r="AR32" s="384"/>
      <c r="AS32" s="384"/>
      <c r="AT32" s="385"/>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25">
      <c r="A33" s="83"/>
      <c r="B33" s="255"/>
      <c r="C33" s="255"/>
      <c r="D33" s="256"/>
      <c r="E33" s="354"/>
      <c r="F33" s="353"/>
      <c r="G33" s="353"/>
      <c r="H33" s="353"/>
      <c r="I33" s="369"/>
      <c r="J33" s="67" t="str">
        <f>IF(AND(academico!$Y$52="Media",academico!$AA$52="Leve"),CONCATENATE("R8C",academico!$O$52),"")</f>
        <v/>
      </c>
      <c r="K33" s="68" t="str">
        <f>IF(AND(academico!$Y$53="Media",academico!$AA$53="Leve"),CONCATENATE("R8C",academico!$O$53),"")</f>
        <v/>
      </c>
      <c r="L33" s="68" t="str">
        <f>IF(AND(academico!$Y$54="Media",academico!$AA$54="Leve"),CONCATENATE("R8C",academico!$O$54),"")</f>
        <v/>
      </c>
      <c r="M33" s="68" t="str">
        <f>IF(AND(academico!$Y$55="Media",academico!$AA$55="Leve"),CONCATENATE("R8C",academico!$O$55),"")</f>
        <v/>
      </c>
      <c r="N33" s="68" t="str">
        <f>IF(AND(academico!$Y$56="Media",academico!$AA$56="Leve"),CONCATENATE("R8C",academico!$O$56),"")</f>
        <v/>
      </c>
      <c r="O33" s="69" t="str">
        <f>IF(AND(academico!$Y$57="Media",academico!$AA$57="Leve"),CONCATENATE("R8C",academico!$O$57),"")</f>
        <v/>
      </c>
      <c r="P33" s="67" t="str">
        <f>IF(AND(academico!$Y$52="Media",academico!$AA$52="Menor"),CONCATENATE("R8C",academico!$O$52),"")</f>
        <v/>
      </c>
      <c r="Q33" s="68" t="str">
        <f>IF(AND(academico!$Y$53="Media",academico!$AA$53="Menor"),CONCATENATE("R8C",academico!$O$53),"")</f>
        <v/>
      </c>
      <c r="R33" s="68" t="str">
        <f>IF(AND(academico!$Y$54="Media",academico!$AA$54="Menor"),CONCATENATE("R8C",academico!$O$54),"")</f>
        <v/>
      </c>
      <c r="S33" s="68" t="str">
        <f>IF(AND(academico!$Y$55="Media",academico!$AA$55="Menor"),CONCATENATE("R8C",academico!$O$55),"")</f>
        <v/>
      </c>
      <c r="T33" s="68" t="str">
        <f>IF(AND(academico!$Y$56="Media",academico!$AA$56="Menor"),CONCATENATE("R8C",academico!$O$56),"")</f>
        <v/>
      </c>
      <c r="U33" s="69" t="str">
        <f>IF(AND(academico!$Y$57="Media",academico!$AA$57="Menor"),CONCATENATE("R8C",academico!$O$57),"")</f>
        <v/>
      </c>
      <c r="V33" s="67" t="str">
        <f>IF(AND(academico!$Y$52="Media",academico!$AA$52="Moderado"),CONCATENATE("R8C",academico!$O$52),"")</f>
        <v/>
      </c>
      <c r="W33" s="68" t="str">
        <f>IF(AND(academico!$Y$53="Media",academico!$AA$53="Moderado"),CONCATENATE("R8C",academico!$O$53),"")</f>
        <v/>
      </c>
      <c r="X33" s="68" t="str">
        <f>IF(AND(academico!$Y$54="Media",academico!$AA$54="Moderado"),CONCATENATE("R8C",academico!$O$54),"")</f>
        <v/>
      </c>
      <c r="Y33" s="68" t="str">
        <f>IF(AND(academico!$Y$55="Media",academico!$AA$55="Moderado"),CONCATENATE("R8C",academico!$O$55),"")</f>
        <v/>
      </c>
      <c r="Z33" s="68" t="str">
        <f>IF(AND(academico!$Y$56="Media",academico!$AA$56="Moderado"),CONCATENATE("R8C",academico!$O$56),"")</f>
        <v/>
      </c>
      <c r="AA33" s="69" t="str">
        <f>IF(AND(academico!$Y$57="Media",academico!$AA$57="Moderado"),CONCATENATE("R8C",academico!$O$57),"")</f>
        <v/>
      </c>
      <c r="AB33" s="52" t="str">
        <f>IF(AND(academico!$Y$52="Media",academico!$AA$52="Mayor"),CONCATENATE("R8C",academico!$O$52),"")</f>
        <v/>
      </c>
      <c r="AC33" s="53" t="str">
        <f>IF(AND(academico!$Y$53="Media",academico!$AA$53="Mayor"),CONCATENATE("R8C",academico!$O$53),"")</f>
        <v/>
      </c>
      <c r="AD33" s="53" t="str">
        <f>IF(AND(academico!$Y$54="Media",academico!$AA$54="Mayor"),CONCATENATE("R8C",academico!$O$54),"")</f>
        <v/>
      </c>
      <c r="AE33" s="53" t="str">
        <f>IF(AND(academico!$Y$55="Media",academico!$AA$55="Mayor"),CONCATENATE("R8C",academico!$O$55),"")</f>
        <v/>
      </c>
      <c r="AF33" s="53" t="str">
        <f>IF(AND(academico!$Y$56="Media",academico!$AA$56="Mayor"),CONCATENATE("R8C",academico!$O$56),"")</f>
        <v/>
      </c>
      <c r="AG33" s="54" t="str">
        <f>IF(AND(academico!$Y$57="Media",academico!$AA$57="Mayor"),CONCATENATE("R8C",academico!$O$57),"")</f>
        <v/>
      </c>
      <c r="AH33" s="55" t="str">
        <f>IF(AND(academico!$Y$52="Media",academico!$AA$52="Catastrófico"),CONCATENATE("R8C",academico!$O$52),"")</f>
        <v/>
      </c>
      <c r="AI33" s="56" t="str">
        <f>IF(AND(academico!$Y$53="Media",academico!$AA$53="Catastrófico"),CONCATENATE("R8C",academico!$O$53),"")</f>
        <v/>
      </c>
      <c r="AJ33" s="56" t="str">
        <f>IF(AND(academico!$Y$54="Media",academico!$AA$54="Catastrófico"),CONCATENATE("R8C",academico!$O$54),"")</f>
        <v/>
      </c>
      <c r="AK33" s="56" t="str">
        <f>IF(AND(academico!$Y$55="Media",academico!$AA$55="Catastrófico"),CONCATENATE("R8C",academico!$O$55),"")</f>
        <v/>
      </c>
      <c r="AL33" s="56" t="str">
        <f>IF(AND(academico!$Y$56="Media",academico!$AA$56="Catastrófico"),CONCATENATE("R8C",academico!$O$56),"")</f>
        <v/>
      </c>
      <c r="AM33" s="57" t="str">
        <f>IF(AND(academico!$Y$57="Media",academico!$AA$57="Catastrófico"),CONCATENATE("R8C",academico!$O$57),"")</f>
        <v/>
      </c>
      <c r="AN33" s="83"/>
      <c r="AO33" s="383"/>
      <c r="AP33" s="384"/>
      <c r="AQ33" s="384"/>
      <c r="AR33" s="384"/>
      <c r="AS33" s="384"/>
      <c r="AT33" s="385"/>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25">
      <c r="A34" s="83"/>
      <c r="B34" s="255"/>
      <c r="C34" s="255"/>
      <c r="D34" s="256"/>
      <c r="E34" s="354"/>
      <c r="F34" s="353"/>
      <c r="G34" s="353"/>
      <c r="H34" s="353"/>
      <c r="I34" s="369"/>
      <c r="J34" s="67" t="str">
        <f>IF(AND(academico!$Y$58="Media",academico!$AA$58="Leve"),CONCATENATE("R9C",academico!$O$58),"")</f>
        <v/>
      </c>
      <c r="K34" s="68" t="str">
        <f>IF(AND(academico!$Y$59="Media",academico!$AA$59="Leve"),CONCATENATE("R9C",academico!$O$59),"")</f>
        <v/>
      </c>
      <c r="L34" s="68" t="str">
        <f>IF(AND(academico!$Y$60="Media",academico!$AA$60="Leve"),CONCATENATE("R9C",academico!$O$60),"")</f>
        <v/>
      </c>
      <c r="M34" s="68" t="str">
        <f>IF(AND(academico!$Y$61="Media",academico!$AA$61="Leve"),CONCATENATE("R9C",academico!$O$61),"")</f>
        <v/>
      </c>
      <c r="N34" s="68" t="str">
        <f>IF(AND(academico!$Y$62="Media",academico!$AA$62="Leve"),CONCATENATE("R9C",academico!$O$62),"")</f>
        <v/>
      </c>
      <c r="O34" s="69" t="str">
        <f>IF(AND(academico!$Y$63="Media",academico!$AA$63="Leve"),CONCATENATE("R9C",academico!$O$63),"")</f>
        <v/>
      </c>
      <c r="P34" s="67" t="str">
        <f>IF(AND(academico!$Y$58="Media",academico!$AA$58="Menor"),CONCATENATE("R9C",academico!$O$58),"")</f>
        <v/>
      </c>
      <c r="Q34" s="68" t="str">
        <f>IF(AND(academico!$Y$59="Media",academico!$AA$59="Menor"),CONCATENATE("R9C",academico!$O$59),"")</f>
        <v/>
      </c>
      <c r="R34" s="68" t="str">
        <f>IF(AND(academico!$Y$60="Media",academico!$AA$60="Menor"),CONCATENATE("R9C",academico!$O$60),"")</f>
        <v/>
      </c>
      <c r="S34" s="68" t="str">
        <f>IF(AND(academico!$Y$61="Media",academico!$AA$61="Menor"),CONCATENATE("R9C",academico!$O$61),"")</f>
        <v/>
      </c>
      <c r="T34" s="68" t="str">
        <f>IF(AND(academico!$Y$62="Media",academico!$AA$62="Menor"),CONCATENATE("R9C",academico!$O$62),"")</f>
        <v/>
      </c>
      <c r="U34" s="69" t="str">
        <f>IF(AND(academico!$Y$63="Media",academico!$AA$63="Menor"),CONCATENATE("R9C",academico!$O$63),"")</f>
        <v/>
      </c>
      <c r="V34" s="67" t="str">
        <f>IF(AND(academico!$Y$58="Media",academico!$AA$58="Moderado"),CONCATENATE("R9C",academico!$O$58),"")</f>
        <v/>
      </c>
      <c r="W34" s="68" t="str">
        <f>IF(AND(academico!$Y$59="Media",academico!$AA$59="Moderado"),CONCATENATE("R9C",academico!$O$59),"")</f>
        <v/>
      </c>
      <c r="X34" s="68" t="str">
        <f>IF(AND(academico!$Y$60="Media",academico!$AA$60="Moderado"),CONCATENATE("R9C",academico!$O$60),"")</f>
        <v/>
      </c>
      <c r="Y34" s="68" t="str">
        <f>IF(AND(academico!$Y$61="Media",academico!$AA$61="Moderado"),CONCATENATE("R9C",academico!$O$61),"")</f>
        <v/>
      </c>
      <c r="Z34" s="68" t="str">
        <f>IF(AND(academico!$Y$62="Media",academico!$AA$62="Moderado"),CONCATENATE("R9C",academico!$O$62),"")</f>
        <v/>
      </c>
      <c r="AA34" s="69" t="str">
        <f>IF(AND(academico!$Y$63="Media",academico!$AA$63="Moderado"),CONCATENATE("R9C",academico!$O$63),"")</f>
        <v/>
      </c>
      <c r="AB34" s="52" t="str">
        <f>IF(AND(academico!$Y$58="Media",academico!$AA$58="Mayor"),CONCATENATE("R9C",academico!$O$58),"")</f>
        <v/>
      </c>
      <c r="AC34" s="53" t="str">
        <f>IF(AND(academico!$Y$59="Media",academico!$AA$59="Mayor"),CONCATENATE("R9C",academico!$O$59),"")</f>
        <v/>
      </c>
      <c r="AD34" s="53" t="str">
        <f>IF(AND(academico!$Y$60="Media",academico!$AA$60="Mayor"),CONCATENATE("R9C",academico!$O$60),"")</f>
        <v/>
      </c>
      <c r="AE34" s="53" t="str">
        <f>IF(AND(academico!$Y$61="Media",academico!$AA$61="Mayor"),CONCATENATE("R9C",academico!$O$61),"")</f>
        <v/>
      </c>
      <c r="AF34" s="53" t="str">
        <f>IF(AND(academico!$Y$62="Media",academico!$AA$62="Mayor"),CONCATENATE("R9C",academico!$O$62),"")</f>
        <v/>
      </c>
      <c r="AG34" s="54" t="str">
        <f>IF(AND(academico!$Y$63="Media",academico!$AA$63="Mayor"),CONCATENATE("R9C",academico!$O$63),"")</f>
        <v/>
      </c>
      <c r="AH34" s="55" t="str">
        <f>IF(AND(academico!$Y$58="Media",academico!$AA$58="Catastrófico"),CONCATENATE("R9C",academico!$O$58),"")</f>
        <v/>
      </c>
      <c r="AI34" s="56" t="str">
        <f>IF(AND(academico!$Y$59="Media",academico!$AA$59="Catastrófico"),CONCATENATE("R9C",academico!$O$59),"")</f>
        <v/>
      </c>
      <c r="AJ34" s="56" t="str">
        <f>IF(AND(academico!$Y$60="Media",academico!$AA$60="Catastrófico"),CONCATENATE("R9C",academico!$O$60),"")</f>
        <v/>
      </c>
      <c r="AK34" s="56" t="str">
        <f>IF(AND(academico!$Y$61="Media",academico!$AA$61="Catastrófico"),CONCATENATE("R9C",academico!$O$61),"")</f>
        <v/>
      </c>
      <c r="AL34" s="56" t="str">
        <f>IF(AND(academico!$Y$62="Media",academico!$AA$62="Catastrófico"),CONCATENATE("R9C",academico!$O$62),"")</f>
        <v/>
      </c>
      <c r="AM34" s="57" t="str">
        <f>IF(AND(academico!$Y$63="Media",academico!$AA$63="Catastrófico"),CONCATENATE("R9C",academico!$O$63),"")</f>
        <v/>
      </c>
      <c r="AN34" s="83"/>
      <c r="AO34" s="383"/>
      <c r="AP34" s="384"/>
      <c r="AQ34" s="384"/>
      <c r="AR34" s="384"/>
      <c r="AS34" s="384"/>
      <c r="AT34" s="385"/>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
      <c r="A35" s="83"/>
      <c r="B35" s="255"/>
      <c r="C35" s="255"/>
      <c r="D35" s="256"/>
      <c r="E35" s="355"/>
      <c r="F35" s="356"/>
      <c r="G35" s="356"/>
      <c r="H35" s="356"/>
      <c r="I35" s="370"/>
      <c r="J35" s="67" t="str">
        <f>IF(AND(academico!$Y$64="Media",academico!$AA$64="Leve"),CONCATENATE("R10C",academico!$O$64),"")</f>
        <v/>
      </c>
      <c r="K35" s="68" t="str">
        <f>IF(AND(academico!$Y$65="Media",academico!$AA$65="Leve"),CONCATENATE("R10C",academico!$O$65),"")</f>
        <v/>
      </c>
      <c r="L35" s="68" t="str">
        <f>IF(AND(academico!$Y$66="Media",academico!$AA$66="Leve"),CONCATENATE("R10C",academico!$O$66),"")</f>
        <v/>
      </c>
      <c r="M35" s="68" t="str">
        <f>IF(AND(academico!$Y$67="Media",academico!$AA$67="Leve"),CONCATENATE("R10C",academico!$O$67),"")</f>
        <v/>
      </c>
      <c r="N35" s="68" t="str">
        <f>IF(AND(academico!$Y$68="Media",academico!$AA$68="Leve"),CONCATENATE("R10C",academico!$O$68),"")</f>
        <v/>
      </c>
      <c r="O35" s="69" t="str">
        <f>IF(AND(academico!$Y$69="Media",academico!$AA$69="Leve"),CONCATENATE("R10C",academico!$O$69),"")</f>
        <v/>
      </c>
      <c r="P35" s="67" t="str">
        <f>IF(AND(academico!$Y$64="Media",academico!$AA$64="Menor"),CONCATENATE("R10C",academico!$O$64),"")</f>
        <v/>
      </c>
      <c r="Q35" s="68" t="str">
        <f>IF(AND(academico!$Y$65="Media",academico!$AA$65="Menor"),CONCATENATE("R10C",academico!$O$65),"")</f>
        <v/>
      </c>
      <c r="R35" s="68" t="str">
        <f>IF(AND(academico!$Y$66="Media",academico!$AA$66="Menor"),CONCATENATE("R10C",academico!$O$66),"")</f>
        <v/>
      </c>
      <c r="S35" s="68" t="str">
        <f>IF(AND(academico!$Y$67="Media",academico!$AA$67="Menor"),CONCATENATE("R10C",academico!$O$67),"")</f>
        <v/>
      </c>
      <c r="T35" s="68" t="str">
        <f>IF(AND(academico!$Y$68="Media",academico!$AA$68="Menor"),CONCATENATE("R10C",academico!$O$68),"")</f>
        <v/>
      </c>
      <c r="U35" s="69" t="str">
        <f>IF(AND(academico!$Y$69="Media",academico!$AA$69="Menor"),CONCATENATE("R10C",academico!$O$69),"")</f>
        <v/>
      </c>
      <c r="V35" s="67" t="str">
        <f>IF(AND(academico!$Y$64="Media",academico!$AA$64="Moderado"),CONCATENATE("R10C",academico!$O$64),"")</f>
        <v/>
      </c>
      <c r="W35" s="68" t="str">
        <f>IF(AND(academico!$Y$65="Media",academico!$AA$65="Moderado"),CONCATENATE("R10C",academico!$O$65),"")</f>
        <v/>
      </c>
      <c r="X35" s="68" t="str">
        <f>IF(AND(academico!$Y$66="Media",academico!$AA$66="Moderado"),CONCATENATE("R10C",academico!$O$66),"")</f>
        <v/>
      </c>
      <c r="Y35" s="68" t="str">
        <f>IF(AND(academico!$Y$67="Media",academico!$AA$67="Moderado"),CONCATENATE("R10C",academico!$O$67),"")</f>
        <v/>
      </c>
      <c r="Z35" s="68" t="str">
        <f>IF(AND(academico!$Y$68="Media",academico!$AA$68="Moderado"),CONCATENATE("R10C",academico!$O$68),"")</f>
        <v/>
      </c>
      <c r="AA35" s="69" t="str">
        <f>IF(AND(academico!$Y$69="Media",academico!$AA$69="Moderado"),CONCATENATE("R10C",academico!$O$69),"")</f>
        <v/>
      </c>
      <c r="AB35" s="58" t="str">
        <f>IF(AND(academico!$Y$64="Media",academico!$AA$64="Mayor"),CONCATENATE("R10C",academico!$O$64),"")</f>
        <v/>
      </c>
      <c r="AC35" s="59" t="str">
        <f>IF(AND(academico!$Y$65="Media",academico!$AA$65="Mayor"),CONCATENATE("R10C",academico!$O$65),"")</f>
        <v/>
      </c>
      <c r="AD35" s="59" t="str">
        <f>IF(AND(academico!$Y$66="Media",academico!$AA$66="Mayor"),CONCATENATE("R10C",academico!$O$66),"")</f>
        <v/>
      </c>
      <c r="AE35" s="59" t="str">
        <f>IF(AND(academico!$Y$67="Media",academico!$AA$67="Mayor"),CONCATENATE("R10C",academico!$O$67),"")</f>
        <v/>
      </c>
      <c r="AF35" s="59" t="str">
        <f>IF(AND(academico!$Y$68="Media",academico!$AA$68="Mayor"),CONCATENATE("R10C",academico!$O$68),"")</f>
        <v/>
      </c>
      <c r="AG35" s="60" t="str">
        <f>IF(AND(academico!$Y$69="Media",academico!$AA$69="Mayor"),CONCATENATE("R10C",academico!$O$69),"")</f>
        <v/>
      </c>
      <c r="AH35" s="61" t="str">
        <f>IF(AND(academico!$Y$64="Media",academico!$AA$64="Catastrófico"),CONCATENATE("R10C",academico!$O$64),"")</f>
        <v/>
      </c>
      <c r="AI35" s="62" t="str">
        <f>IF(AND(academico!$Y$65="Media",academico!$AA$65="Catastrófico"),CONCATENATE("R10C",academico!$O$65),"")</f>
        <v/>
      </c>
      <c r="AJ35" s="62" t="str">
        <f>IF(AND(academico!$Y$66="Media",academico!$AA$66="Catastrófico"),CONCATENATE("R10C",academico!$O$66),"")</f>
        <v/>
      </c>
      <c r="AK35" s="62" t="str">
        <f>IF(AND(academico!$Y$67="Media",academico!$AA$67="Catastrófico"),CONCATENATE("R10C",academico!$O$67),"")</f>
        <v/>
      </c>
      <c r="AL35" s="62" t="str">
        <f>IF(AND(academico!$Y$68="Media",academico!$AA$68="Catastrófico"),CONCATENATE("R10C",academico!$O$68),"")</f>
        <v/>
      </c>
      <c r="AM35" s="63" t="str">
        <f>IF(AND(academico!$Y$69="Media",academico!$AA$69="Catastrófico"),CONCATENATE("R10C",academico!$O$69),"")</f>
        <v/>
      </c>
      <c r="AN35" s="83"/>
      <c r="AO35" s="386"/>
      <c r="AP35" s="387"/>
      <c r="AQ35" s="387"/>
      <c r="AR35" s="387"/>
      <c r="AS35" s="387"/>
      <c r="AT35" s="388"/>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25">
      <c r="A36" s="83"/>
      <c r="B36" s="255"/>
      <c r="C36" s="255"/>
      <c r="D36" s="256"/>
      <c r="E36" s="350" t="s">
        <v>114</v>
      </c>
      <c r="F36" s="351"/>
      <c r="G36" s="351"/>
      <c r="H36" s="351"/>
      <c r="I36" s="351"/>
      <c r="J36" s="73" t="str">
        <f ca="1">IF(AND(academico!$Y$10="Baja",academico!$AA$10="Leve"),CONCATENATE("R1C",academico!$O$10),"")</f>
        <v/>
      </c>
      <c r="K36" s="74" t="str">
        <f ca="1">IF(AND(academico!$Y$11="Baja",academico!$AA$11="Leve"),CONCATENATE("R1C",academico!$O$11),"")</f>
        <v/>
      </c>
      <c r="L36" s="74" t="str">
        <f>IF(AND(academico!$Y$12="Baja",academico!$AA$12="Leve"),CONCATENATE("R1C",academico!$O$12),"")</f>
        <v/>
      </c>
      <c r="M36" s="74" t="str">
        <f>IF(AND(academico!$Y$13="Baja",academico!$AA$13="Leve"),CONCATENATE("R1C",academico!$O$13),"")</f>
        <v/>
      </c>
      <c r="N36" s="74" t="str">
        <f>IF(AND(academico!$Y$14="Baja",academico!$AA$14="Leve"),CONCATENATE("R1C",academico!$O$14),"")</f>
        <v/>
      </c>
      <c r="O36" s="75" t="str">
        <f>IF(AND(academico!$Y$15="Baja",academico!$AA$15="Leve"),CONCATENATE("R1C",academico!$O$15),"")</f>
        <v/>
      </c>
      <c r="P36" s="64" t="str">
        <f ca="1">IF(AND(academico!$Y$10="Baja",academico!$AA$10="Menor"),CONCATENATE("R1C",academico!$O$10),"")</f>
        <v/>
      </c>
      <c r="Q36" s="65" t="str">
        <f ca="1">IF(AND(academico!$Y$11="Baja",academico!$AA$11="Menor"),CONCATENATE("R1C",academico!$O$11),"")</f>
        <v/>
      </c>
      <c r="R36" s="65" t="str">
        <f>IF(AND(academico!$Y$12="Baja",academico!$AA$12="Menor"),CONCATENATE("R1C",academico!$O$12),"")</f>
        <v/>
      </c>
      <c r="S36" s="65" t="str">
        <f>IF(AND(academico!$Y$13="Baja",academico!$AA$13="Menor"),CONCATENATE("R1C",academico!$O$13),"")</f>
        <v/>
      </c>
      <c r="T36" s="65" t="str">
        <f>IF(AND(academico!$Y$14="Baja",academico!$AA$14="Menor"),CONCATENATE("R1C",academico!$O$14),"")</f>
        <v/>
      </c>
      <c r="U36" s="66" t="str">
        <f>IF(AND(academico!$Y$15="Baja",academico!$AA$15="Menor"),CONCATENATE("R1C",academico!$O$15),"")</f>
        <v/>
      </c>
      <c r="V36" s="64" t="str">
        <f ca="1">IF(AND(academico!$Y$10="Baja",academico!$AA$10="Moderado"),CONCATENATE("R1C",academico!$O$10),"")</f>
        <v/>
      </c>
      <c r="W36" s="65" t="str">
        <f ca="1">IF(AND(academico!$Y$11="Baja",academico!$AA$11="Moderado"),CONCATENATE("R1C",academico!$O$11),"")</f>
        <v/>
      </c>
      <c r="X36" s="65" t="str">
        <f>IF(AND(academico!$Y$12="Baja",academico!$AA$12="Moderado"),CONCATENATE("R1C",academico!$O$12),"")</f>
        <v/>
      </c>
      <c r="Y36" s="65" t="str">
        <f>IF(AND(academico!$Y$13="Baja",academico!$AA$13="Moderado"),CONCATENATE("R1C",academico!$O$13),"")</f>
        <v/>
      </c>
      <c r="Z36" s="65" t="str">
        <f>IF(AND(academico!$Y$14="Baja",academico!$AA$14="Moderado"),CONCATENATE("R1C",academico!$O$14),"")</f>
        <v/>
      </c>
      <c r="AA36" s="66" t="str">
        <f>IF(AND(academico!$Y$15="Baja",academico!$AA$15="Moderado"),CONCATENATE("R1C",academico!$O$15),"")</f>
        <v/>
      </c>
      <c r="AB36" s="46" t="str">
        <f ca="1">IF(AND(academico!$Y$10="Baja",academico!$AA$10="Mayor"),CONCATENATE("R1C",academico!$O$10),"")</f>
        <v>R1C1</v>
      </c>
      <c r="AC36" s="47" t="str">
        <f ca="1">IF(AND(academico!$Y$11="Baja",academico!$AA$11="Mayor"),CONCATENATE("R1C",academico!$O$11),"")</f>
        <v>R1C2</v>
      </c>
      <c r="AD36" s="47" t="str">
        <f>IF(AND(academico!$Y$12="Baja",academico!$AA$12="Mayor"),CONCATENATE("R1C",academico!$O$12),"")</f>
        <v/>
      </c>
      <c r="AE36" s="47" t="str">
        <f>IF(AND(academico!$Y$13="Baja",academico!$AA$13="Mayor"),CONCATENATE("R1C",academico!$O$13),"")</f>
        <v/>
      </c>
      <c r="AF36" s="47" t="str">
        <f>IF(AND(academico!$Y$14="Baja",academico!$AA$14="Mayor"),CONCATENATE("R1C",academico!$O$14),"")</f>
        <v/>
      </c>
      <c r="AG36" s="48" t="str">
        <f>IF(AND(academico!$Y$15="Baja",academico!$AA$15="Mayor"),CONCATENATE("R1C",academico!$O$15),"")</f>
        <v/>
      </c>
      <c r="AH36" s="49" t="str">
        <f ca="1">IF(AND(academico!$Y$10="Baja",academico!$AA$10="Catastrófico"),CONCATENATE("R1C",academico!$O$10),"")</f>
        <v/>
      </c>
      <c r="AI36" s="50" t="str">
        <f ca="1">IF(AND(academico!$Y$11="Baja",academico!$AA$11="Catastrófico"),CONCATENATE("R1C",academico!$O$11),"")</f>
        <v/>
      </c>
      <c r="AJ36" s="50" t="str">
        <f>IF(AND(academico!$Y$12="Baja",academico!$AA$12="Catastrófico"),CONCATENATE("R1C",academico!$O$12),"")</f>
        <v/>
      </c>
      <c r="AK36" s="50" t="str">
        <f>IF(AND(academico!$Y$13="Baja",academico!$AA$13="Catastrófico"),CONCATENATE("R1C",academico!$O$13),"")</f>
        <v/>
      </c>
      <c r="AL36" s="50" t="str">
        <f>IF(AND(academico!$Y$14="Baja",academico!$AA$14="Catastrófico"),CONCATENATE("R1C",academico!$O$14),"")</f>
        <v/>
      </c>
      <c r="AM36" s="51" t="str">
        <f>IF(AND(academico!$Y$15="Baja",academico!$AA$15="Catastrófico"),CONCATENATE("R1C",academico!$O$15),"")</f>
        <v/>
      </c>
      <c r="AN36" s="83"/>
      <c r="AO36" s="371" t="s">
        <v>82</v>
      </c>
      <c r="AP36" s="372"/>
      <c r="AQ36" s="372"/>
      <c r="AR36" s="372"/>
      <c r="AS36" s="372"/>
      <c r="AT36" s="37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25">
      <c r="A37" s="83"/>
      <c r="B37" s="255"/>
      <c r="C37" s="255"/>
      <c r="D37" s="256"/>
      <c r="E37" s="352"/>
      <c r="F37" s="353"/>
      <c r="G37" s="353"/>
      <c r="H37" s="353"/>
      <c r="I37" s="353"/>
      <c r="J37" s="76" t="str">
        <f>IF(AND(academico!$Y$16="Baja",academico!$AA$16="Leve"),CONCATENATE("R2C",academico!$O$16),"")</f>
        <v/>
      </c>
      <c r="K37" s="77" t="str">
        <f>IF(AND(academico!$Y$17="Baja",academico!$AA$17="Leve"),CONCATENATE("R2C",academico!$O$17),"")</f>
        <v/>
      </c>
      <c r="L37" s="77" t="str">
        <f>IF(AND(academico!$Y$18="Baja",academico!$AA$18="Leve"),CONCATENATE("R2C",academico!$O$18),"")</f>
        <v/>
      </c>
      <c r="M37" s="77" t="str">
        <f>IF(AND(academico!$Y$19="Baja",academico!$AA$19="Leve"),CONCATENATE("R2C",academico!$O$19),"")</f>
        <v/>
      </c>
      <c r="N37" s="77" t="str">
        <f>IF(AND(academico!$Y$20="Baja",academico!$AA$20="Leve"),CONCATENATE("R2C",academico!$O$20),"")</f>
        <v/>
      </c>
      <c r="O37" s="78" t="str">
        <f>IF(AND(academico!$Y$21="Baja",academico!$AA$21="Leve"),CONCATENATE("R2C",academico!$O$21),"")</f>
        <v/>
      </c>
      <c r="P37" s="67" t="str">
        <f>IF(AND(academico!$Y$16="Baja",academico!$AA$16="Menor"),CONCATENATE("R2C",academico!$O$16),"")</f>
        <v/>
      </c>
      <c r="Q37" s="68" t="str">
        <f>IF(AND(academico!$Y$17="Baja",academico!$AA$17="Menor"),CONCATENATE("R2C",academico!$O$17),"")</f>
        <v/>
      </c>
      <c r="R37" s="68" t="str">
        <f>IF(AND(academico!$Y$18="Baja",academico!$AA$18="Menor"),CONCATENATE("R2C",academico!$O$18),"")</f>
        <v/>
      </c>
      <c r="S37" s="68" t="str">
        <f>IF(AND(academico!$Y$19="Baja",academico!$AA$19="Menor"),CONCATENATE("R2C",academico!$O$19),"")</f>
        <v/>
      </c>
      <c r="T37" s="68" t="str">
        <f>IF(AND(academico!$Y$20="Baja",academico!$AA$20="Menor"),CONCATENATE("R2C",academico!$O$20),"")</f>
        <v/>
      </c>
      <c r="U37" s="69" t="str">
        <f>IF(AND(academico!$Y$21="Baja",academico!$AA$21="Menor"),CONCATENATE("R2C",academico!$O$21),"")</f>
        <v/>
      </c>
      <c r="V37" s="67" t="str">
        <f>IF(AND(academico!$Y$16="Baja",academico!$AA$16="Moderado"),CONCATENATE("R2C",academico!$O$16),"")</f>
        <v/>
      </c>
      <c r="W37" s="68" t="str">
        <f>IF(AND(academico!$Y$17="Baja",academico!$AA$17="Moderado"),CONCATENATE("R2C",academico!$O$17),"")</f>
        <v/>
      </c>
      <c r="X37" s="68" t="str">
        <f>IF(AND(academico!$Y$18="Baja",academico!$AA$18="Moderado"),CONCATENATE("R2C",academico!$O$18),"")</f>
        <v/>
      </c>
      <c r="Y37" s="68" t="str">
        <f>IF(AND(academico!$Y$19="Baja",academico!$AA$19="Moderado"),CONCATENATE("R2C",academico!$O$19),"")</f>
        <v/>
      </c>
      <c r="Z37" s="68" t="str">
        <f>IF(AND(academico!$Y$20="Baja",academico!$AA$20="Moderado"),CONCATENATE("R2C",academico!$O$20),"")</f>
        <v/>
      </c>
      <c r="AA37" s="69" t="str">
        <f>IF(AND(academico!$Y$21="Baja",academico!$AA$21="Moderado"),CONCATENATE("R2C",academico!$O$21),"")</f>
        <v/>
      </c>
      <c r="AB37" s="52" t="str">
        <f>IF(AND(academico!$Y$16="Baja",academico!$AA$16="Mayor"),CONCATENATE("R2C",academico!$O$16),"")</f>
        <v/>
      </c>
      <c r="AC37" s="53" t="str">
        <f>IF(AND(academico!$Y$17="Baja",academico!$AA$17="Mayor"),CONCATENATE("R2C",academico!$O$17),"")</f>
        <v/>
      </c>
      <c r="AD37" s="53" t="str">
        <f>IF(AND(academico!$Y$18="Baja",academico!$AA$18="Mayor"),CONCATENATE("R2C",academico!$O$18),"")</f>
        <v/>
      </c>
      <c r="AE37" s="53" t="str">
        <f>IF(AND(academico!$Y$19="Baja",academico!$AA$19="Mayor"),CONCATENATE("R2C",academico!$O$19),"")</f>
        <v/>
      </c>
      <c r="AF37" s="53" t="str">
        <f>IF(AND(academico!$Y$20="Baja",academico!$AA$20="Mayor"),CONCATENATE("R2C",academico!$O$20),"")</f>
        <v/>
      </c>
      <c r="AG37" s="54" t="str">
        <f>IF(AND(academico!$Y$21="Baja",academico!$AA$21="Mayor"),CONCATENATE("R2C",academico!$O$21),"")</f>
        <v/>
      </c>
      <c r="AH37" s="55" t="str">
        <f>IF(AND(academico!$Y$16="Baja",academico!$AA$16="Catastrófico"),CONCATENATE("R2C",academico!$O$16),"")</f>
        <v/>
      </c>
      <c r="AI37" s="56" t="str">
        <f>IF(AND(academico!$Y$17="Baja",academico!$AA$17="Catastrófico"),CONCATENATE("R2C",academico!$O$17),"")</f>
        <v/>
      </c>
      <c r="AJ37" s="56" t="str">
        <f>IF(AND(academico!$Y$18="Baja",academico!$AA$18="Catastrófico"),CONCATENATE("R2C",academico!$O$18),"")</f>
        <v/>
      </c>
      <c r="AK37" s="56" t="str">
        <f>IF(AND(academico!$Y$19="Baja",academico!$AA$19="Catastrófico"),CONCATENATE("R2C",academico!$O$19),"")</f>
        <v/>
      </c>
      <c r="AL37" s="56" t="str">
        <f>IF(AND(academico!$Y$20="Baja",academico!$AA$20="Catastrófico"),CONCATENATE("R2C",academico!$O$20),"")</f>
        <v/>
      </c>
      <c r="AM37" s="57" t="str">
        <f>IF(AND(academico!$Y$21="Baja",academico!$AA$21="Catastrófico"),CONCATENATE("R2C",academico!$O$21),"")</f>
        <v/>
      </c>
      <c r="AN37" s="83"/>
      <c r="AO37" s="374"/>
      <c r="AP37" s="375"/>
      <c r="AQ37" s="375"/>
      <c r="AR37" s="375"/>
      <c r="AS37" s="375"/>
      <c r="AT37" s="376"/>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25">
      <c r="A38" s="83"/>
      <c r="B38" s="255"/>
      <c r="C38" s="255"/>
      <c r="D38" s="256"/>
      <c r="E38" s="354"/>
      <c r="F38" s="353"/>
      <c r="G38" s="353"/>
      <c r="H38" s="353"/>
      <c r="I38" s="353"/>
      <c r="J38" s="76" t="str">
        <f>IF(AND(academico!$Y$22="Baja",academico!$AA$22="Leve"),CONCATENATE("R3C",academico!$O$22),"")</f>
        <v/>
      </c>
      <c r="K38" s="77" t="str">
        <f>IF(AND(academico!$Y$23="Baja",academico!$AA$23="Leve"),CONCATENATE("R3C",academico!$O$23),"")</f>
        <v/>
      </c>
      <c r="L38" s="77" t="str">
        <f>IF(AND(academico!$Y$24="Baja",academico!$AA$24="Leve"),CONCATENATE("R3C",academico!$O$24),"")</f>
        <v/>
      </c>
      <c r="M38" s="77" t="str">
        <f>IF(AND(academico!$Y$25="Baja",academico!$AA$25="Leve"),CONCATENATE("R3C",academico!$O$25),"")</f>
        <v/>
      </c>
      <c r="N38" s="77" t="str">
        <f>IF(AND(academico!$Y$26="Baja",academico!$AA$26="Leve"),CONCATENATE("R3C",academico!$O$26),"")</f>
        <v/>
      </c>
      <c r="O38" s="78" t="str">
        <f>IF(AND(academico!$Y$27="Baja",academico!$AA$27="Leve"),CONCATENATE("R3C",academico!$O$27),"")</f>
        <v/>
      </c>
      <c r="P38" s="67" t="str">
        <f>IF(AND(academico!$Y$22="Baja",academico!$AA$22="Menor"),CONCATENATE("R3C",academico!$O$22),"")</f>
        <v/>
      </c>
      <c r="Q38" s="68" t="str">
        <f>IF(AND(academico!$Y$23="Baja",academico!$AA$23="Menor"),CONCATENATE("R3C",academico!$O$23),"")</f>
        <v/>
      </c>
      <c r="R38" s="68" t="str">
        <f>IF(AND(academico!$Y$24="Baja",academico!$AA$24="Menor"),CONCATENATE("R3C",academico!$O$24),"")</f>
        <v/>
      </c>
      <c r="S38" s="68" t="str">
        <f>IF(AND(academico!$Y$25="Baja",academico!$AA$25="Menor"),CONCATENATE("R3C",academico!$O$25),"")</f>
        <v/>
      </c>
      <c r="T38" s="68" t="str">
        <f>IF(AND(academico!$Y$26="Baja",academico!$AA$26="Menor"),CONCATENATE("R3C",academico!$O$26),"")</f>
        <v/>
      </c>
      <c r="U38" s="69" t="str">
        <f>IF(AND(academico!$Y$27="Baja",academico!$AA$27="Menor"),CONCATENATE("R3C",academico!$O$27),"")</f>
        <v/>
      </c>
      <c r="V38" s="67" t="str">
        <f>IF(AND(academico!$Y$22="Baja",academico!$AA$22="Moderado"),CONCATENATE("R3C",academico!$O$22),"")</f>
        <v/>
      </c>
      <c r="W38" s="68" t="str">
        <f>IF(AND(academico!$Y$23="Baja",academico!$AA$23="Moderado"),CONCATENATE("R3C",academico!$O$23),"")</f>
        <v/>
      </c>
      <c r="X38" s="68" t="str">
        <f>IF(AND(academico!$Y$24="Baja",academico!$AA$24="Moderado"),CONCATENATE("R3C",academico!$O$24),"")</f>
        <v/>
      </c>
      <c r="Y38" s="68" t="str">
        <f>IF(AND(academico!$Y$25="Baja",academico!$AA$25="Moderado"),CONCATENATE("R3C",academico!$O$25),"")</f>
        <v/>
      </c>
      <c r="Z38" s="68" t="str">
        <f>IF(AND(academico!$Y$26="Baja",academico!$AA$26="Moderado"),CONCATENATE("R3C",academico!$O$26),"")</f>
        <v/>
      </c>
      <c r="AA38" s="69" t="str">
        <f>IF(AND(academico!$Y$27="Baja",academico!$AA$27="Moderado"),CONCATENATE("R3C",academico!$O$27),"")</f>
        <v/>
      </c>
      <c r="AB38" s="52" t="str">
        <f>IF(AND(academico!$Y$22="Baja",academico!$AA$22="Mayor"),CONCATENATE("R3C",academico!$O$22),"")</f>
        <v/>
      </c>
      <c r="AC38" s="53" t="str">
        <f>IF(AND(academico!$Y$23="Baja",academico!$AA$23="Mayor"),CONCATENATE("R3C",academico!$O$23),"")</f>
        <v/>
      </c>
      <c r="AD38" s="53" t="str">
        <f>IF(AND(academico!$Y$24="Baja",academico!$AA$24="Mayor"),CONCATENATE("R3C",academico!$O$24),"")</f>
        <v/>
      </c>
      <c r="AE38" s="53" t="str">
        <f>IF(AND(academico!$Y$25="Baja",academico!$AA$25="Mayor"),CONCATENATE("R3C",academico!$O$25),"")</f>
        <v/>
      </c>
      <c r="AF38" s="53" t="str">
        <f>IF(AND(academico!$Y$26="Baja",academico!$AA$26="Mayor"),CONCATENATE("R3C",academico!$O$26),"")</f>
        <v/>
      </c>
      <c r="AG38" s="54" t="str">
        <f>IF(AND(academico!$Y$27="Baja",academico!$AA$27="Mayor"),CONCATENATE("R3C",academico!$O$27),"")</f>
        <v/>
      </c>
      <c r="AH38" s="55" t="str">
        <f>IF(AND(academico!$Y$22="Baja",academico!$AA$22="Catastrófico"),CONCATENATE("R3C",academico!$O$22),"")</f>
        <v/>
      </c>
      <c r="AI38" s="56" t="str">
        <f>IF(AND(academico!$Y$23="Baja",academico!$AA$23="Catastrófico"),CONCATENATE("R3C",academico!$O$23),"")</f>
        <v/>
      </c>
      <c r="AJ38" s="56" t="str">
        <f>IF(AND(academico!$Y$24="Baja",academico!$AA$24="Catastrófico"),CONCATENATE("R3C",academico!$O$24),"")</f>
        <v/>
      </c>
      <c r="AK38" s="56" t="str">
        <f>IF(AND(academico!$Y$25="Baja",academico!$AA$25="Catastrófico"),CONCATENATE("R3C",academico!$O$25),"")</f>
        <v/>
      </c>
      <c r="AL38" s="56" t="str">
        <f>IF(AND(academico!$Y$26="Baja",academico!$AA$26="Catastrófico"),CONCATENATE("R3C",academico!$O$26),"")</f>
        <v/>
      </c>
      <c r="AM38" s="57" t="str">
        <f>IF(AND(academico!$Y$27="Baja",academico!$AA$27="Catastrófico"),CONCATENATE("R3C",academico!$O$27),"")</f>
        <v/>
      </c>
      <c r="AN38" s="83"/>
      <c r="AO38" s="374"/>
      <c r="AP38" s="375"/>
      <c r="AQ38" s="375"/>
      <c r="AR38" s="375"/>
      <c r="AS38" s="375"/>
      <c r="AT38" s="376"/>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25">
      <c r="A39" s="83"/>
      <c r="B39" s="255"/>
      <c r="C39" s="255"/>
      <c r="D39" s="256"/>
      <c r="E39" s="354"/>
      <c r="F39" s="353"/>
      <c r="G39" s="353"/>
      <c r="H39" s="353"/>
      <c r="I39" s="353"/>
      <c r="J39" s="76" t="str">
        <f>IF(AND(academico!$Y$28="Baja",academico!$AA$28="Leve"),CONCATENATE("R4C",academico!$O$28),"")</f>
        <v/>
      </c>
      <c r="K39" s="77" t="str">
        <f>IF(AND(academico!$Y$29="Baja",academico!$AA$29="Leve"),CONCATENATE("R4C",academico!$O$29),"")</f>
        <v/>
      </c>
      <c r="L39" s="77" t="str">
        <f>IF(AND(academico!$Y$30="Baja",academico!$AA$30="Leve"),CONCATENATE("R4C",academico!$O$30),"")</f>
        <v/>
      </c>
      <c r="M39" s="77" t="str">
        <f>IF(AND(academico!$Y$31="Baja",academico!$AA$31="Leve"),CONCATENATE("R4C",academico!$O$31),"")</f>
        <v/>
      </c>
      <c r="N39" s="77" t="str">
        <f>IF(AND(academico!$Y$32="Baja",academico!$AA$32="Leve"),CONCATENATE("R4C",academico!$O$32),"")</f>
        <v/>
      </c>
      <c r="O39" s="78" t="str">
        <f>IF(AND(academico!$Y$33="Baja",academico!$AA$33="Leve"),CONCATENATE("R4C",academico!$O$33),"")</f>
        <v/>
      </c>
      <c r="P39" s="67" t="str">
        <f>IF(AND(academico!$Y$28="Baja",academico!$AA$28="Menor"),CONCATENATE("R4C",academico!$O$28),"")</f>
        <v/>
      </c>
      <c r="Q39" s="68" t="str">
        <f>IF(AND(academico!$Y$29="Baja",academico!$AA$29="Menor"),CONCATENATE("R4C",academico!$O$29),"")</f>
        <v/>
      </c>
      <c r="R39" s="68" t="str">
        <f>IF(AND(academico!$Y$30="Baja",academico!$AA$30="Menor"),CONCATENATE("R4C",academico!$O$30),"")</f>
        <v/>
      </c>
      <c r="S39" s="68" t="str">
        <f>IF(AND(academico!$Y$31="Baja",academico!$AA$31="Menor"),CONCATENATE("R4C",academico!$O$31),"")</f>
        <v/>
      </c>
      <c r="T39" s="68" t="str">
        <f>IF(AND(academico!$Y$32="Baja",academico!$AA$32="Menor"),CONCATENATE("R4C",academico!$O$32),"")</f>
        <v/>
      </c>
      <c r="U39" s="69" t="str">
        <f>IF(AND(academico!$Y$33="Baja",academico!$AA$33="Menor"),CONCATENATE("R4C",academico!$O$33),"")</f>
        <v/>
      </c>
      <c r="V39" s="67" t="str">
        <f>IF(AND(academico!$Y$28="Baja",academico!$AA$28="Moderado"),CONCATENATE("R4C",academico!$O$28),"")</f>
        <v/>
      </c>
      <c r="W39" s="68" t="str">
        <f>IF(AND(academico!$Y$29="Baja",academico!$AA$29="Moderado"),CONCATENATE("R4C",academico!$O$29),"")</f>
        <v/>
      </c>
      <c r="X39" s="68" t="str">
        <f>IF(AND(academico!$Y$30="Baja",academico!$AA$30="Moderado"),CONCATENATE("R4C",academico!$O$30),"")</f>
        <v/>
      </c>
      <c r="Y39" s="68" t="str">
        <f>IF(AND(academico!$Y$31="Baja",academico!$AA$31="Moderado"),CONCATENATE("R4C",academico!$O$31),"")</f>
        <v/>
      </c>
      <c r="Z39" s="68" t="str">
        <f>IF(AND(academico!$Y$32="Baja",academico!$AA$32="Moderado"),CONCATENATE("R4C",academico!$O$32),"")</f>
        <v/>
      </c>
      <c r="AA39" s="69" t="str">
        <f>IF(AND(academico!$Y$33="Baja",academico!$AA$33="Moderado"),CONCATENATE("R4C",academico!$O$33),"")</f>
        <v/>
      </c>
      <c r="AB39" s="52" t="str">
        <f>IF(AND(academico!$Y$28="Baja",academico!$AA$28="Mayor"),CONCATENATE("R4C",academico!$O$28),"")</f>
        <v/>
      </c>
      <c r="AC39" s="53" t="str">
        <f>IF(AND(academico!$Y$29="Baja",academico!$AA$29="Mayor"),CONCATENATE("R4C",academico!$O$29),"")</f>
        <v/>
      </c>
      <c r="AD39" s="53" t="str">
        <f>IF(AND(academico!$Y$30="Baja",academico!$AA$30="Mayor"),CONCATENATE("R4C",academico!$O$30),"")</f>
        <v/>
      </c>
      <c r="AE39" s="53" t="str">
        <f>IF(AND(academico!$Y$31="Baja",academico!$AA$31="Mayor"),CONCATENATE("R4C",academico!$O$31),"")</f>
        <v/>
      </c>
      <c r="AF39" s="53" t="str">
        <f>IF(AND(academico!$Y$32="Baja",academico!$AA$32="Mayor"),CONCATENATE("R4C",academico!$O$32),"")</f>
        <v/>
      </c>
      <c r="AG39" s="54" t="str">
        <f>IF(AND(academico!$Y$33="Baja",academico!$AA$33="Mayor"),CONCATENATE("R4C",academico!$O$33),"")</f>
        <v/>
      </c>
      <c r="AH39" s="55" t="str">
        <f>IF(AND(academico!$Y$28="Baja",academico!$AA$28="Catastrófico"),CONCATENATE("R4C",academico!$O$28),"")</f>
        <v/>
      </c>
      <c r="AI39" s="56" t="str">
        <f>IF(AND(academico!$Y$29="Baja",academico!$AA$29="Catastrófico"),CONCATENATE("R4C",academico!$O$29),"")</f>
        <v/>
      </c>
      <c r="AJ39" s="56" t="str">
        <f>IF(AND(academico!$Y$30="Baja",academico!$AA$30="Catastrófico"),CONCATENATE("R4C",academico!$O$30),"")</f>
        <v/>
      </c>
      <c r="AK39" s="56" t="str">
        <f>IF(AND(academico!$Y$31="Baja",academico!$AA$31="Catastrófico"),CONCATENATE("R4C",academico!$O$31),"")</f>
        <v/>
      </c>
      <c r="AL39" s="56" t="str">
        <f>IF(AND(academico!$Y$32="Baja",academico!$AA$32="Catastrófico"),CONCATENATE("R4C",academico!$O$32),"")</f>
        <v/>
      </c>
      <c r="AM39" s="57" t="str">
        <f>IF(AND(academico!$Y$33="Baja",academico!$AA$33="Catastrófico"),CONCATENATE("R4C",academico!$O$33),"")</f>
        <v/>
      </c>
      <c r="AN39" s="83"/>
      <c r="AO39" s="374"/>
      <c r="AP39" s="375"/>
      <c r="AQ39" s="375"/>
      <c r="AR39" s="375"/>
      <c r="AS39" s="375"/>
      <c r="AT39" s="376"/>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25">
      <c r="A40" s="83"/>
      <c r="B40" s="255"/>
      <c r="C40" s="255"/>
      <c r="D40" s="256"/>
      <c r="E40" s="354"/>
      <c r="F40" s="353"/>
      <c r="G40" s="353"/>
      <c r="H40" s="353"/>
      <c r="I40" s="353"/>
      <c r="J40" s="76" t="str">
        <f>IF(AND(academico!$Y$34="Baja",academico!$AA$34="Leve"),CONCATENATE("R5C",academico!$O$34),"")</f>
        <v/>
      </c>
      <c r="K40" s="77" t="str">
        <f>IF(AND(academico!$Y$35="Baja",academico!$AA$35="Leve"),CONCATENATE("R5C",academico!$O$35),"")</f>
        <v/>
      </c>
      <c r="L40" s="77" t="str">
        <f>IF(AND(academico!$Y$36="Baja",academico!$AA$36="Leve"),CONCATENATE("R5C",academico!$O$36),"")</f>
        <v/>
      </c>
      <c r="M40" s="77" t="str">
        <f>IF(AND(academico!$Y$37="Baja",academico!$AA$37="Leve"),CONCATENATE("R5C",academico!$O$37),"")</f>
        <v/>
      </c>
      <c r="N40" s="77" t="str">
        <f>IF(AND(academico!$Y$38="Baja",academico!$AA$38="Leve"),CONCATENATE("R5C",academico!$O$38),"")</f>
        <v/>
      </c>
      <c r="O40" s="78" t="str">
        <f>IF(AND(academico!$Y$39="Baja",academico!$AA$39="Leve"),CONCATENATE("R5C",academico!$O$39),"")</f>
        <v/>
      </c>
      <c r="P40" s="67" t="str">
        <f>IF(AND(academico!$Y$34="Baja",academico!$AA$34="Menor"),CONCATENATE("R5C",academico!$O$34),"")</f>
        <v/>
      </c>
      <c r="Q40" s="68" t="str">
        <f>IF(AND(academico!$Y$35="Baja",academico!$AA$35="Menor"),CONCATENATE("R5C",academico!$O$35),"")</f>
        <v/>
      </c>
      <c r="R40" s="68" t="str">
        <f>IF(AND(academico!$Y$36="Baja",academico!$AA$36="Menor"),CONCATENATE("R5C",academico!$O$36),"")</f>
        <v/>
      </c>
      <c r="S40" s="68" t="str">
        <f>IF(AND(academico!$Y$37="Baja",academico!$AA$37="Menor"),CONCATENATE("R5C",academico!$O$37),"")</f>
        <v/>
      </c>
      <c r="T40" s="68" t="str">
        <f>IF(AND(academico!$Y$38="Baja",academico!$AA$38="Menor"),CONCATENATE("R5C",academico!$O$38),"")</f>
        <v/>
      </c>
      <c r="U40" s="69" t="str">
        <f>IF(AND(academico!$Y$39="Baja",academico!$AA$39="Menor"),CONCATENATE("R5C",academico!$O$39),"")</f>
        <v/>
      </c>
      <c r="V40" s="67" t="str">
        <f>IF(AND(academico!$Y$34="Baja",academico!$AA$34="Moderado"),CONCATENATE("R5C",academico!$O$34),"")</f>
        <v/>
      </c>
      <c r="W40" s="68" t="str">
        <f>IF(AND(academico!$Y$35="Baja",academico!$AA$35="Moderado"),CONCATENATE("R5C",academico!$O$35),"")</f>
        <v/>
      </c>
      <c r="X40" s="68" t="str">
        <f>IF(AND(academico!$Y$36="Baja",academico!$AA$36="Moderado"),CONCATENATE("R5C",academico!$O$36),"")</f>
        <v/>
      </c>
      <c r="Y40" s="68" t="str">
        <f>IF(AND(academico!$Y$37="Baja",academico!$AA$37="Moderado"),CONCATENATE("R5C",academico!$O$37),"")</f>
        <v/>
      </c>
      <c r="Z40" s="68" t="str">
        <f>IF(AND(academico!$Y$38="Baja",academico!$AA$38="Moderado"),CONCATENATE("R5C",academico!$O$38),"")</f>
        <v/>
      </c>
      <c r="AA40" s="69" t="str">
        <f>IF(AND(academico!$Y$39="Baja",academico!$AA$39="Moderado"),CONCATENATE("R5C",academico!$O$39),"")</f>
        <v/>
      </c>
      <c r="AB40" s="52" t="str">
        <f>IF(AND(academico!$Y$34="Baja",academico!$AA$34="Mayor"),CONCATENATE("R5C",academico!$O$34),"")</f>
        <v/>
      </c>
      <c r="AC40" s="53" t="str">
        <f>IF(AND(academico!$Y$35="Baja",academico!$AA$35="Mayor"),CONCATENATE("R5C",academico!$O$35),"")</f>
        <v/>
      </c>
      <c r="AD40" s="53" t="str">
        <f>IF(AND(academico!$Y$36="Baja",academico!$AA$36="Mayor"),CONCATENATE("R5C",academico!$O$36),"")</f>
        <v/>
      </c>
      <c r="AE40" s="53" t="str">
        <f>IF(AND(academico!$Y$37="Baja",academico!$AA$37="Mayor"),CONCATENATE("R5C",academico!$O$37),"")</f>
        <v/>
      </c>
      <c r="AF40" s="53" t="str">
        <f>IF(AND(academico!$Y$38="Baja",academico!$AA$38="Mayor"),CONCATENATE("R5C",academico!$O$38),"")</f>
        <v/>
      </c>
      <c r="AG40" s="54" t="str">
        <f>IF(AND(academico!$Y$39="Baja",academico!$AA$39="Mayor"),CONCATENATE("R5C",academico!$O$39),"")</f>
        <v/>
      </c>
      <c r="AH40" s="55" t="str">
        <f>IF(AND(academico!$Y$34="Baja",academico!$AA$34="Catastrófico"),CONCATENATE("R5C",academico!$O$34),"")</f>
        <v/>
      </c>
      <c r="AI40" s="56" t="str">
        <f>IF(AND(academico!$Y$35="Baja",academico!$AA$35="Catastrófico"),CONCATENATE("R5C",academico!$O$35),"")</f>
        <v/>
      </c>
      <c r="AJ40" s="56" t="str">
        <f>IF(AND(academico!$Y$36="Baja",academico!$AA$36="Catastrófico"),CONCATENATE("R5C",academico!$O$36),"")</f>
        <v/>
      </c>
      <c r="AK40" s="56" t="str">
        <f>IF(AND(academico!$Y$37="Baja",academico!$AA$37="Catastrófico"),CONCATENATE("R5C",academico!$O$37),"")</f>
        <v/>
      </c>
      <c r="AL40" s="56" t="str">
        <f>IF(AND(academico!$Y$38="Baja",academico!$AA$38="Catastrófico"),CONCATENATE("R5C",academico!$O$38),"")</f>
        <v/>
      </c>
      <c r="AM40" s="57" t="str">
        <f>IF(AND(academico!$Y$39="Baja",academico!$AA$39="Catastrófico"),CONCATENATE("R5C",academico!$O$39),"")</f>
        <v/>
      </c>
      <c r="AN40" s="83"/>
      <c r="AO40" s="374"/>
      <c r="AP40" s="375"/>
      <c r="AQ40" s="375"/>
      <c r="AR40" s="375"/>
      <c r="AS40" s="375"/>
      <c r="AT40" s="376"/>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25">
      <c r="A41" s="83"/>
      <c r="B41" s="255"/>
      <c r="C41" s="255"/>
      <c r="D41" s="256"/>
      <c r="E41" s="354"/>
      <c r="F41" s="353"/>
      <c r="G41" s="353"/>
      <c r="H41" s="353"/>
      <c r="I41" s="353"/>
      <c r="J41" s="76" t="str">
        <f>IF(AND(academico!$Y$40="Baja",academico!$AA$40="Leve"),CONCATENATE("R6C",academico!$O$40),"")</f>
        <v/>
      </c>
      <c r="K41" s="77" t="str">
        <f>IF(AND(academico!$Y$41="Baja",academico!$AA$41="Leve"),CONCATENATE("R6C",academico!$O$41),"")</f>
        <v/>
      </c>
      <c r="L41" s="77" t="str">
        <f>IF(AND(academico!$Y$42="Baja",academico!$AA$42="Leve"),CONCATENATE("R6C",academico!$O$42),"")</f>
        <v/>
      </c>
      <c r="M41" s="77" t="str">
        <f>IF(AND(academico!$Y$43="Baja",academico!$AA$43="Leve"),CONCATENATE("R6C",academico!$O$43),"")</f>
        <v/>
      </c>
      <c r="N41" s="77" t="str">
        <f>IF(AND(academico!$Y$44="Baja",academico!$AA$44="Leve"),CONCATENATE("R6C",academico!$O$44),"")</f>
        <v/>
      </c>
      <c r="O41" s="78" t="str">
        <f>IF(AND(academico!$Y$45="Baja",academico!$AA$45="Leve"),CONCATENATE("R6C",academico!$O$45),"")</f>
        <v/>
      </c>
      <c r="P41" s="67" t="str">
        <f>IF(AND(academico!$Y$40="Baja",academico!$AA$40="Menor"),CONCATENATE("R6C",academico!$O$40),"")</f>
        <v/>
      </c>
      <c r="Q41" s="68" t="str">
        <f>IF(AND(academico!$Y$41="Baja",academico!$AA$41="Menor"),CONCATENATE("R6C",academico!$O$41),"")</f>
        <v/>
      </c>
      <c r="R41" s="68" t="str">
        <f>IF(AND(academico!$Y$42="Baja",academico!$AA$42="Menor"),CONCATENATE("R6C",academico!$O$42),"")</f>
        <v/>
      </c>
      <c r="S41" s="68" t="str">
        <f>IF(AND(academico!$Y$43="Baja",academico!$AA$43="Menor"),CONCATENATE("R6C",academico!$O$43),"")</f>
        <v/>
      </c>
      <c r="T41" s="68" t="str">
        <f>IF(AND(academico!$Y$44="Baja",academico!$AA$44="Menor"),CONCATENATE("R6C",academico!$O$44),"")</f>
        <v/>
      </c>
      <c r="U41" s="69" t="str">
        <f>IF(AND(academico!$Y$45="Baja",academico!$AA$45="Menor"),CONCATENATE("R6C",academico!$O$45),"")</f>
        <v/>
      </c>
      <c r="V41" s="67" t="str">
        <f>IF(AND(academico!$Y$40="Baja",academico!$AA$40="Moderado"),CONCATENATE("R6C",academico!$O$40),"")</f>
        <v/>
      </c>
      <c r="W41" s="68" t="str">
        <f>IF(AND(academico!$Y$41="Baja",academico!$AA$41="Moderado"),CONCATENATE("R6C",academico!$O$41),"")</f>
        <v/>
      </c>
      <c r="X41" s="68" t="str">
        <f>IF(AND(academico!$Y$42="Baja",academico!$AA$42="Moderado"),CONCATENATE("R6C",academico!$O$42),"")</f>
        <v/>
      </c>
      <c r="Y41" s="68" t="str">
        <f>IF(AND(academico!$Y$43="Baja",academico!$AA$43="Moderado"),CONCATENATE("R6C",academico!$O$43),"")</f>
        <v/>
      </c>
      <c r="Z41" s="68" t="str">
        <f>IF(AND(academico!$Y$44="Baja",academico!$AA$44="Moderado"),CONCATENATE("R6C",academico!$O$44),"")</f>
        <v/>
      </c>
      <c r="AA41" s="69" t="str">
        <f>IF(AND(academico!$Y$45="Baja",academico!$AA$45="Moderado"),CONCATENATE("R6C",academico!$O$45),"")</f>
        <v/>
      </c>
      <c r="AB41" s="52" t="str">
        <f>IF(AND(academico!$Y$40="Baja",academico!$AA$40="Mayor"),CONCATENATE("R6C",academico!$O$40),"")</f>
        <v/>
      </c>
      <c r="AC41" s="53" t="str">
        <f>IF(AND(academico!$Y$41="Baja",academico!$AA$41="Mayor"),CONCATENATE("R6C",academico!$O$41),"")</f>
        <v/>
      </c>
      <c r="AD41" s="53" t="str">
        <f>IF(AND(academico!$Y$42="Baja",academico!$AA$42="Mayor"),CONCATENATE("R6C",academico!$O$42),"")</f>
        <v/>
      </c>
      <c r="AE41" s="53" t="str">
        <f>IF(AND(academico!$Y$43="Baja",academico!$AA$43="Mayor"),CONCATENATE("R6C",academico!$O$43),"")</f>
        <v/>
      </c>
      <c r="AF41" s="53" t="str">
        <f>IF(AND(academico!$Y$44="Baja",academico!$AA$44="Mayor"),CONCATENATE("R6C",academico!$O$44),"")</f>
        <v/>
      </c>
      <c r="AG41" s="54" t="str">
        <f>IF(AND(academico!$Y$45="Baja",academico!$AA$45="Mayor"),CONCATENATE("R6C",academico!$O$45),"")</f>
        <v/>
      </c>
      <c r="AH41" s="55" t="str">
        <f>IF(AND(academico!$Y$40="Baja",academico!$AA$40="Catastrófico"),CONCATENATE("R6C",academico!$O$40),"")</f>
        <v/>
      </c>
      <c r="AI41" s="56" t="str">
        <f>IF(AND(academico!$Y$41="Baja",academico!$AA$41="Catastrófico"),CONCATENATE("R6C",academico!$O$41),"")</f>
        <v/>
      </c>
      <c r="AJ41" s="56" t="str">
        <f>IF(AND(academico!$Y$42="Baja",academico!$AA$42="Catastrófico"),CONCATENATE("R6C",academico!$O$42),"")</f>
        <v/>
      </c>
      <c r="AK41" s="56" t="str">
        <f>IF(AND(academico!$Y$43="Baja",academico!$AA$43="Catastrófico"),CONCATENATE("R6C",academico!$O$43),"")</f>
        <v/>
      </c>
      <c r="AL41" s="56" t="str">
        <f>IF(AND(academico!$Y$44="Baja",academico!$AA$44="Catastrófico"),CONCATENATE("R6C",academico!$O$44),"")</f>
        <v/>
      </c>
      <c r="AM41" s="57" t="str">
        <f>IF(AND(academico!$Y$45="Baja",academico!$AA$45="Catastrófico"),CONCATENATE("R6C",academico!$O$45),"")</f>
        <v/>
      </c>
      <c r="AN41" s="83"/>
      <c r="AO41" s="374"/>
      <c r="AP41" s="375"/>
      <c r="AQ41" s="375"/>
      <c r="AR41" s="375"/>
      <c r="AS41" s="375"/>
      <c r="AT41" s="376"/>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25">
      <c r="A42" s="83"/>
      <c r="B42" s="255"/>
      <c r="C42" s="255"/>
      <c r="D42" s="256"/>
      <c r="E42" s="354"/>
      <c r="F42" s="353"/>
      <c r="G42" s="353"/>
      <c r="H42" s="353"/>
      <c r="I42" s="353"/>
      <c r="J42" s="76" t="str">
        <f>IF(AND(academico!$Y$46="Baja",academico!$AA$46="Leve"),CONCATENATE("R7C",academico!$O$46),"")</f>
        <v/>
      </c>
      <c r="K42" s="77" t="str">
        <f>IF(AND(academico!$Y$47="Baja",academico!$AA$47="Leve"),CONCATENATE("R7C",academico!$O$47),"")</f>
        <v/>
      </c>
      <c r="L42" s="77" t="str">
        <f>IF(AND(academico!$Y$48="Baja",academico!$AA$48="Leve"),CONCATENATE("R7C",academico!$O$48),"")</f>
        <v/>
      </c>
      <c r="M42" s="77" t="str">
        <f>IF(AND(academico!$Y$49="Baja",academico!$AA$49="Leve"),CONCATENATE("R7C",academico!$O$49),"")</f>
        <v/>
      </c>
      <c r="N42" s="77" t="str">
        <f>IF(AND(academico!$Y$50="Baja",academico!$AA$50="Leve"),CONCATENATE("R7C",academico!$O$50),"")</f>
        <v/>
      </c>
      <c r="O42" s="78" t="str">
        <f>IF(AND(academico!$Y$51="Baja",academico!$AA$51="Leve"),CONCATENATE("R7C",academico!$O$51),"")</f>
        <v/>
      </c>
      <c r="P42" s="67" t="str">
        <f>IF(AND(academico!$Y$46="Baja",academico!$AA$46="Menor"),CONCATENATE("R7C",academico!$O$46),"")</f>
        <v/>
      </c>
      <c r="Q42" s="68" t="str">
        <f>IF(AND(academico!$Y$47="Baja",academico!$AA$47="Menor"),CONCATENATE("R7C",academico!$O$47),"")</f>
        <v/>
      </c>
      <c r="R42" s="68" t="str">
        <f>IF(AND(academico!$Y$48="Baja",academico!$AA$48="Menor"),CONCATENATE("R7C",academico!$O$48),"")</f>
        <v/>
      </c>
      <c r="S42" s="68" t="str">
        <f>IF(AND(academico!$Y$49="Baja",academico!$AA$49="Menor"),CONCATENATE("R7C",academico!$O$49),"")</f>
        <v/>
      </c>
      <c r="T42" s="68" t="str">
        <f>IF(AND(academico!$Y$50="Baja",academico!$AA$50="Menor"),CONCATENATE("R7C",academico!$O$50),"")</f>
        <v/>
      </c>
      <c r="U42" s="69" t="str">
        <f>IF(AND(academico!$Y$51="Baja",academico!$AA$51="Menor"),CONCATENATE("R7C",academico!$O$51),"")</f>
        <v/>
      </c>
      <c r="V42" s="67" t="str">
        <f>IF(AND(academico!$Y$46="Baja",academico!$AA$46="Moderado"),CONCATENATE("R7C",academico!$O$46),"")</f>
        <v/>
      </c>
      <c r="W42" s="68" t="str">
        <f>IF(AND(academico!$Y$47="Baja",academico!$AA$47="Moderado"),CONCATENATE("R7C",academico!$O$47),"")</f>
        <v/>
      </c>
      <c r="X42" s="68" t="str">
        <f>IF(AND(academico!$Y$48="Baja",academico!$AA$48="Moderado"),CONCATENATE("R7C",academico!$O$48),"")</f>
        <v/>
      </c>
      <c r="Y42" s="68" t="str">
        <f>IF(AND(academico!$Y$49="Baja",academico!$AA$49="Moderado"),CONCATENATE("R7C",academico!$O$49),"")</f>
        <v/>
      </c>
      <c r="Z42" s="68" t="str">
        <f>IF(AND(academico!$Y$50="Baja",academico!$AA$50="Moderado"),CONCATENATE("R7C",academico!$O$50),"")</f>
        <v/>
      </c>
      <c r="AA42" s="69" t="str">
        <f>IF(AND(academico!$Y$51="Baja",academico!$AA$51="Moderado"),CONCATENATE("R7C",academico!$O$51),"")</f>
        <v/>
      </c>
      <c r="AB42" s="52" t="str">
        <f>IF(AND(academico!$Y$46="Baja",academico!$AA$46="Mayor"),CONCATENATE("R7C",academico!$O$46),"")</f>
        <v/>
      </c>
      <c r="AC42" s="53" t="str">
        <f>IF(AND(academico!$Y$47="Baja",academico!$AA$47="Mayor"),CONCATENATE("R7C",academico!$O$47),"")</f>
        <v/>
      </c>
      <c r="AD42" s="53" t="str">
        <f>IF(AND(academico!$Y$48="Baja",academico!$AA$48="Mayor"),CONCATENATE("R7C",academico!$O$48),"")</f>
        <v/>
      </c>
      <c r="AE42" s="53" t="str">
        <f>IF(AND(academico!$Y$49="Baja",academico!$AA$49="Mayor"),CONCATENATE("R7C",academico!$O$49),"")</f>
        <v/>
      </c>
      <c r="AF42" s="53" t="str">
        <f>IF(AND(academico!$Y$50="Baja",academico!$AA$50="Mayor"),CONCATENATE("R7C",academico!$O$50),"")</f>
        <v/>
      </c>
      <c r="AG42" s="54" t="str">
        <f>IF(AND(academico!$Y$51="Baja",academico!$AA$51="Mayor"),CONCATENATE("R7C",academico!$O$51),"")</f>
        <v/>
      </c>
      <c r="AH42" s="55" t="str">
        <f>IF(AND(academico!$Y$46="Baja",academico!$AA$46="Catastrófico"),CONCATENATE("R7C",academico!$O$46),"")</f>
        <v/>
      </c>
      <c r="AI42" s="56" t="str">
        <f>IF(AND(academico!$Y$47="Baja",academico!$AA$47="Catastrófico"),CONCATENATE("R7C",academico!$O$47),"")</f>
        <v/>
      </c>
      <c r="AJ42" s="56" t="str">
        <f>IF(AND(academico!$Y$48="Baja",academico!$AA$48="Catastrófico"),CONCATENATE("R7C",academico!$O$48),"")</f>
        <v/>
      </c>
      <c r="AK42" s="56" t="str">
        <f>IF(AND(academico!$Y$49="Baja",academico!$AA$49="Catastrófico"),CONCATENATE("R7C",academico!$O$49),"")</f>
        <v/>
      </c>
      <c r="AL42" s="56" t="str">
        <f>IF(AND(academico!$Y$50="Baja",academico!$AA$50="Catastrófico"),CONCATENATE("R7C",academico!$O$50),"")</f>
        <v/>
      </c>
      <c r="AM42" s="57" t="str">
        <f>IF(AND(academico!$Y$51="Baja",academico!$AA$51="Catastrófico"),CONCATENATE("R7C",academico!$O$51),"")</f>
        <v/>
      </c>
      <c r="AN42" s="83"/>
      <c r="AO42" s="374"/>
      <c r="AP42" s="375"/>
      <c r="AQ42" s="375"/>
      <c r="AR42" s="375"/>
      <c r="AS42" s="375"/>
      <c r="AT42" s="376"/>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25">
      <c r="A43" s="83"/>
      <c r="B43" s="255"/>
      <c r="C43" s="255"/>
      <c r="D43" s="256"/>
      <c r="E43" s="354"/>
      <c r="F43" s="353"/>
      <c r="G43" s="353"/>
      <c r="H43" s="353"/>
      <c r="I43" s="353"/>
      <c r="J43" s="76" t="str">
        <f>IF(AND(academico!$Y$52="Baja",academico!$AA$52="Leve"),CONCATENATE("R8C",academico!$O$52),"")</f>
        <v/>
      </c>
      <c r="K43" s="77" t="str">
        <f>IF(AND(academico!$Y$53="Baja",academico!$AA$53="Leve"),CONCATENATE("R8C",academico!$O$53),"")</f>
        <v/>
      </c>
      <c r="L43" s="77" t="str">
        <f>IF(AND(academico!$Y$54="Baja",academico!$AA$54="Leve"),CONCATENATE("R8C",academico!$O$54),"")</f>
        <v/>
      </c>
      <c r="M43" s="77" t="str">
        <f>IF(AND(academico!$Y$55="Baja",academico!$AA$55="Leve"),CONCATENATE("R8C",academico!$O$55),"")</f>
        <v/>
      </c>
      <c r="N43" s="77" t="str">
        <f>IF(AND(academico!$Y$56="Baja",academico!$AA$56="Leve"),CONCATENATE("R8C",academico!$O$56),"")</f>
        <v/>
      </c>
      <c r="O43" s="78" t="str">
        <f>IF(AND(academico!$Y$57="Baja",academico!$AA$57="Leve"),CONCATENATE("R8C",academico!$O$57),"")</f>
        <v/>
      </c>
      <c r="P43" s="67" t="str">
        <f>IF(AND(academico!$Y$52="Baja",academico!$AA$52="Menor"),CONCATENATE("R8C",academico!$O$52),"")</f>
        <v/>
      </c>
      <c r="Q43" s="68" t="str">
        <f>IF(AND(academico!$Y$53="Baja",academico!$AA$53="Menor"),CONCATENATE("R8C",academico!$O$53),"")</f>
        <v/>
      </c>
      <c r="R43" s="68" t="str">
        <f>IF(AND(academico!$Y$54="Baja",academico!$AA$54="Menor"),CONCATENATE("R8C",academico!$O$54),"")</f>
        <v/>
      </c>
      <c r="S43" s="68" t="str">
        <f>IF(AND(academico!$Y$55="Baja",academico!$AA$55="Menor"),CONCATENATE("R8C",academico!$O$55),"")</f>
        <v/>
      </c>
      <c r="T43" s="68" t="str">
        <f>IF(AND(academico!$Y$56="Baja",academico!$AA$56="Menor"),CONCATENATE("R8C",academico!$O$56),"")</f>
        <v/>
      </c>
      <c r="U43" s="69" t="str">
        <f>IF(AND(academico!$Y$57="Baja",academico!$AA$57="Menor"),CONCATENATE("R8C",academico!$O$57),"")</f>
        <v/>
      </c>
      <c r="V43" s="67" t="str">
        <f>IF(AND(academico!$Y$52="Baja",academico!$AA$52="Moderado"),CONCATENATE("R8C",academico!$O$52),"")</f>
        <v/>
      </c>
      <c r="W43" s="68" t="str">
        <f>IF(AND(academico!$Y$53="Baja",academico!$AA$53="Moderado"),CONCATENATE("R8C",academico!$O$53),"")</f>
        <v/>
      </c>
      <c r="X43" s="68" t="str">
        <f>IF(AND(academico!$Y$54="Baja",academico!$AA$54="Moderado"),CONCATENATE("R8C",academico!$O$54),"")</f>
        <v/>
      </c>
      <c r="Y43" s="68" t="str">
        <f>IF(AND(academico!$Y$55="Baja",academico!$AA$55="Moderado"),CONCATENATE("R8C",academico!$O$55),"")</f>
        <v/>
      </c>
      <c r="Z43" s="68" t="str">
        <f>IF(AND(academico!$Y$56="Baja",academico!$AA$56="Moderado"),CONCATENATE("R8C",academico!$O$56),"")</f>
        <v/>
      </c>
      <c r="AA43" s="69" t="str">
        <f>IF(AND(academico!$Y$57="Baja",academico!$AA$57="Moderado"),CONCATENATE("R8C",academico!$O$57),"")</f>
        <v/>
      </c>
      <c r="AB43" s="52" t="str">
        <f>IF(AND(academico!$Y$52="Baja",academico!$AA$52="Mayor"),CONCATENATE("R8C",academico!$O$52),"")</f>
        <v/>
      </c>
      <c r="AC43" s="53" t="str">
        <f>IF(AND(academico!$Y$53="Baja",academico!$AA$53="Mayor"),CONCATENATE("R8C",academico!$O$53),"")</f>
        <v/>
      </c>
      <c r="AD43" s="53" t="str">
        <f>IF(AND(academico!$Y$54="Baja",academico!$AA$54="Mayor"),CONCATENATE("R8C",academico!$O$54),"")</f>
        <v/>
      </c>
      <c r="AE43" s="53" t="str">
        <f>IF(AND(academico!$Y$55="Baja",academico!$AA$55="Mayor"),CONCATENATE("R8C",academico!$O$55),"")</f>
        <v/>
      </c>
      <c r="AF43" s="53" t="str">
        <f>IF(AND(academico!$Y$56="Baja",academico!$AA$56="Mayor"),CONCATENATE("R8C",academico!$O$56),"")</f>
        <v/>
      </c>
      <c r="AG43" s="54" t="str">
        <f>IF(AND(academico!$Y$57="Baja",academico!$AA$57="Mayor"),CONCATENATE("R8C",academico!$O$57),"")</f>
        <v/>
      </c>
      <c r="AH43" s="55" t="str">
        <f>IF(AND(academico!$Y$52="Baja",academico!$AA$52="Catastrófico"),CONCATENATE("R8C",academico!$O$52),"")</f>
        <v/>
      </c>
      <c r="AI43" s="56" t="str">
        <f>IF(AND(academico!$Y$53="Baja",academico!$AA$53="Catastrófico"),CONCATENATE("R8C",academico!$O$53),"")</f>
        <v/>
      </c>
      <c r="AJ43" s="56" t="str">
        <f>IF(AND(academico!$Y$54="Baja",academico!$AA$54="Catastrófico"),CONCATENATE("R8C",academico!$O$54),"")</f>
        <v/>
      </c>
      <c r="AK43" s="56" t="str">
        <f>IF(AND(academico!$Y$55="Baja",academico!$AA$55="Catastrófico"),CONCATENATE("R8C",academico!$O$55),"")</f>
        <v/>
      </c>
      <c r="AL43" s="56" t="str">
        <f>IF(AND(academico!$Y$56="Baja",academico!$AA$56="Catastrófico"),CONCATENATE("R8C",academico!$O$56),"")</f>
        <v/>
      </c>
      <c r="AM43" s="57" t="str">
        <f>IF(AND(academico!$Y$57="Baja",academico!$AA$57="Catastrófico"),CONCATENATE("R8C",academico!$O$57),"")</f>
        <v/>
      </c>
      <c r="AN43" s="83"/>
      <c r="AO43" s="374"/>
      <c r="AP43" s="375"/>
      <c r="AQ43" s="375"/>
      <c r="AR43" s="375"/>
      <c r="AS43" s="375"/>
      <c r="AT43" s="376"/>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25">
      <c r="A44" s="83"/>
      <c r="B44" s="255"/>
      <c r="C44" s="255"/>
      <c r="D44" s="256"/>
      <c r="E44" s="354"/>
      <c r="F44" s="353"/>
      <c r="G44" s="353"/>
      <c r="H44" s="353"/>
      <c r="I44" s="353"/>
      <c r="J44" s="76" t="str">
        <f>IF(AND(academico!$Y$58="Baja",academico!$AA$58="Leve"),CONCATENATE("R9C",academico!$O$58),"")</f>
        <v/>
      </c>
      <c r="K44" s="77" t="str">
        <f>IF(AND(academico!$Y$59="Baja",academico!$AA$59="Leve"),CONCATENATE("R9C",academico!$O$59),"")</f>
        <v/>
      </c>
      <c r="L44" s="77" t="str">
        <f>IF(AND(academico!$Y$60="Baja",academico!$AA$60="Leve"),CONCATENATE("R9C",academico!$O$60),"")</f>
        <v/>
      </c>
      <c r="M44" s="77" t="str">
        <f>IF(AND(academico!$Y$61="Baja",academico!$AA$61="Leve"),CONCATENATE("R9C",academico!$O$61),"")</f>
        <v/>
      </c>
      <c r="N44" s="77" t="str">
        <f>IF(AND(academico!$Y$62="Baja",academico!$AA$62="Leve"),CONCATENATE("R9C",academico!$O$62),"")</f>
        <v/>
      </c>
      <c r="O44" s="78" t="str">
        <f>IF(AND(academico!$Y$63="Baja",academico!$AA$63="Leve"),CONCATENATE("R9C",academico!$O$63),"")</f>
        <v/>
      </c>
      <c r="P44" s="67" t="str">
        <f>IF(AND(academico!$Y$58="Baja",academico!$AA$58="Menor"),CONCATENATE("R9C",academico!$O$58),"")</f>
        <v/>
      </c>
      <c r="Q44" s="68" t="str">
        <f>IF(AND(academico!$Y$59="Baja",academico!$AA$59="Menor"),CONCATENATE("R9C",academico!$O$59),"")</f>
        <v/>
      </c>
      <c r="R44" s="68" t="str">
        <f>IF(AND(academico!$Y$60="Baja",academico!$AA$60="Menor"),CONCATENATE("R9C",academico!$O$60),"")</f>
        <v/>
      </c>
      <c r="S44" s="68" t="str">
        <f>IF(AND(academico!$Y$61="Baja",academico!$AA$61="Menor"),CONCATENATE("R9C",academico!$O$61),"")</f>
        <v/>
      </c>
      <c r="T44" s="68" t="str">
        <f>IF(AND(academico!$Y$62="Baja",academico!$AA$62="Menor"),CONCATENATE("R9C",academico!$O$62),"")</f>
        <v/>
      </c>
      <c r="U44" s="69" t="str">
        <f>IF(AND(academico!$Y$63="Baja",academico!$AA$63="Menor"),CONCATENATE("R9C",academico!$O$63),"")</f>
        <v/>
      </c>
      <c r="V44" s="67" t="str">
        <f>IF(AND(academico!$Y$58="Baja",academico!$AA$58="Moderado"),CONCATENATE("R9C",academico!$O$58),"")</f>
        <v/>
      </c>
      <c r="W44" s="68" t="str">
        <f>IF(AND(academico!$Y$59="Baja",academico!$AA$59="Moderado"),CONCATENATE("R9C",academico!$O$59),"")</f>
        <v/>
      </c>
      <c r="X44" s="68" t="str">
        <f>IF(AND(academico!$Y$60="Baja",academico!$AA$60="Moderado"),CONCATENATE("R9C",academico!$O$60),"")</f>
        <v/>
      </c>
      <c r="Y44" s="68" t="str">
        <f>IF(AND(academico!$Y$61="Baja",academico!$AA$61="Moderado"),CONCATENATE("R9C",academico!$O$61),"")</f>
        <v/>
      </c>
      <c r="Z44" s="68" t="str">
        <f>IF(AND(academico!$Y$62="Baja",academico!$AA$62="Moderado"),CONCATENATE("R9C",academico!$O$62),"")</f>
        <v/>
      </c>
      <c r="AA44" s="69" t="str">
        <f>IF(AND(academico!$Y$63="Baja",academico!$AA$63="Moderado"),CONCATENATE("R9C",academico!$O$63),"")</f>
        <v/>
      </c>
      <c r="AB44" s="52" t="str">
        <f>IF(AND(academico!$Y$58="Baja",academico!$AA$58="Mayor"),CONCATENATE("R9C",academico!$O$58),"")</f>
        <v/>
      </c>
      <c r="AC44" s="53" t="str">
        <f>IF(AND(academico!$Y$59="Baja",academico!$AA$59="Mayor"),CONCATENATE("R9C",academico!$O$59),"")</f>
        <v/>
      </c>
      <c r="AD44" s="53" t="str">
        <f>IF(AND(academico!$Y$60="Baja",academico!$AA$60="Mayor"),CONCATENATE("R9C",academico!$O$60),"")</f>
        <v/>
      </c>
      <c r="AE44" s="53" t="str">
        <f>IF(AND(academico!$Y$61="Baja",academico!$AA$61="Mayor"),CONCATENATE("R9C",academico!$O$61),"")</f>
        <v/>
      </c>
      <c r="AF44" s="53" t="str">
        <f>IF(AND(academico!$Y$62="Baja",academico!$AA$62="Mayor"),CONCATENATE("R9C",academico!$O$62),"")</f>
        <v/>
      </c>
      <c r="AG44" s="54" t="str">
        <f>IF(AND(academico!$Y$63="Baja",academico!$AA$63="Mayor"),CONCATENATE("R9C",academico!$O$63),"")</f>
        <v/>
      </c>
      <c r="AH44" s="55" t="str">
        <f>IF(AND(academico!$Y$58="Baja",academico!$AA$58="Catastrófico"),CONCATENATE("R9C",academico!$O$58),"")</f>
        <v/>
      </c>
      <c r="AI44" s="56" t="str">
        <f>IF(AND(academico!$Y$59="Baja",academico!$AA$59="Catastrófico"),CONCATENATE("R9C",academico!$O$59),"")</f>
        <v/>
      </c>
      <c r="AJ44" s="56" t="str">
        <f>IF(AND(academico!$Y$60="Baja",academico!$AA$60="Catastrófico"),CONCATENATE("R9C",academico!$O$60),"")</f>
        <v/>
      </c>
      <c r="AK44" s="56" t="str">
        <f>IF(AND(academico!$Y$61="Baja",academico!$AA$61="Catastrófico"),CONCATENATE("R9C",academico!$O$61),"")</f>
        <v/>
      </c>
      <c r="AL44" s="56" t="str">
        <f>IF(AND(academico!$Y$62="Baja",academico!$AA$62="Catastrófico"),CONCATENATE("R9C",academico!$O$62),"")</f>
        <v/>
      </c>
      <c r="AM44" s="57" t="str">
        <f>IF(AND(academico!$Y$63="Baja",academico!$AA$63="Catastrófico"),CONCATENATE("R9C",academico!$O$63),"")</f>
        <v/>
      </c>
      <c r="AN44" s="83"/>
      <c r="AO44" s="374"/>
      <c r="AP44" s="375"/>
      <c r="AQ44" s="375"/>
      <c r="AR44" s="375"/>
      <c r="AS44" s="375"/>
      <c r="AT44" s="376"/>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
      <c r="A45" s="83"/>
      <c r="B45" s="255"/>
      <c r="C45" s="255"/>
      <c r="D45" s="256"/>
      <c r="E45" s="355"/>
      <c r="F45" s="356"/>
      <c r="G45" s="356"/>
      <c r="H45" s="356"/>
      <c r="I45" s="356"/>
      <c r="J45" s="79" t="str">
        <f>IF(AND(academico!$Y$64="Baja",academico!$AA$64="Leve"),CONCATENATE("R10C",academico!$O$64),"")</f>
        <v/>
      </c>
      <c r="K45" s="80" t="str">
        <f>IF(AND(academico!$Y$65="Baja",academico!$AA$65="Leve"),CONCATENATE("R10C",academico!$O$65),"")</f>
        <v/>
      </c>
      <c r="L45" s="80" t="str">
        <f>IF(AND(academico!$Y$66="Baja",academico!$AA$66="Leve"),CONCATENATE("R10C",academico!$O$66),"")</f>
        <v/>
      </c>
      <c r="M45" s="80" t="str">
        <f>IF(AND(academico!$Y$67="Baja",academico!$AA$67="Leve"),CONCATENATE("R10C",academico!$O$67),"")</f>
        <v/>
      </c>
      <c r="N45" s="80" t="str">
        <f>IF(AND(academico!$Y$68="Baja",academico!$AA$68="Leve"),CONCATENATE("R10C",academico!$O$68),"")</f>
        <v/>
      </c>
      <c r="O45" s="81" t="str">
        <f>IF(AND(academico!$Y$69="Baja",academico!$AA$69="Leve"),CONCATENATE("R10C",academico!$O$69),"")</f>
        <v/>
      </c>
      <c r="P45" s="67" t="str">
        <f>IF(AND(academico!$Y$64="Baja",academico!$AA$64="Menor"),CONCATENATE("R10C",academico!$O$64),"")</f>
        <v/>
      </c>
      <c r="Q45" s="68" t="str">
        <f>IF(AND(academico!$Y$65="Baja",academico!$AA$65="Menor"),CONCATENATE("R10C",academico!$O$65),"")</f>
        <v/>
      </c>
      <c r="R45" s="68" t="str">
        <f>IF(AND(academico!$Y$66="Baja",academico!$AA$66="Menor"),CONCATENATE("R10C",academico!$O$66),"")</f>
        <v/>
      </c>
      <c r="S45" s="68" t="str">
        <f>IF(AND(academico!$Y$67="Baja",academico!$AA$67="Menor"),CONCATENATE("R10C",academico!$O$67),"")</f>
        <v/>
      </c>
      <c r="T45" s="68" t="str">
        <f>IF(AND(academico!$Y$68="Baja",academico!$AA$68="Menor"),CONCATENATE("R10C",academico!$O$68),"")</f>
        <v/>
      </c>
      <c r="U45" s="69" t="str">
        <f>IF(AND(academico!$Y$69="Baja",academico!$AA$69="Menor"),CONCATENATE("R10C",academico!$O$69),"")</f>
        <v/>
      </c>
      <c r="V45" s="70" t="str">
        <f>IF(AND(academico!$Y$64="Baja",academico!$AA$64="Moderado"),CONCATENATE("R10C",academico!$O$64),"")</f>
        <v/>
      </c>
      <c r="W45" s="71" t="str">
        <f>IF(AND(academico!$Y$65="Baja",academico!$AA$65="Moderado"),CONCATENATE("R10C",academico!$O$65),"")</f>
        <v/>
      </c>
      <c r="X45" s="71" t="str">
        <f>IF(AND(academico!$Y$66="Baja",academico!$AA$66="Moderado"),CONCATENATE("R10C",academico!$O$66),"")</f>
        <v/>
      </c>
      <c r="Y45" s="71" t="str">
        <f>IF(AND(academico!$Y$67="Baja",academico!$AA$67="Moderado"),CONCATENATE("R10C",academico!$O$67),"")</f>
        <v/>
      </c>
      <c r="Z45" s="71" t="str">
        <f>IF(AND(academico!$Y$68="Baja",academico!$AA$68="Moderado"),CONCATENATE("R10C",academico!$O$68),"")</f>
        <v/>
      </c>
      <c r="AA45" s="72" t="str">
        <f>IF(AND(academico!$Y$69="Baja",academico!$AA$69="Moderado"),CONCATENATE("R10C",academico!$O$69),"")</f>
        <v/>
      </c>
      <c r="AB45" s="58" t="str">
        <f>IF(AND(academico!$Y$64="Baja",academico!$AA$64="Mayor"),CONCATENATE("R10C",academico!$O$64),"")</f>
        <v/>
      </c>
      <c r="AC45" s="59" t="str">
        <f>IF(AND(academico!$Y$65="Baja",academico!$AA$65="Mayor"),CONCATENATE("R10C",academico!$O$65),"")</f>
        <v/>
      </c>
      <c r="AD45" s="59" t="str">
        <f>IF(AND(academico!$Y$66="Baja",academico!$AA$66="Mayor"),CONCATENATE("R10C",academico!$O$66),"")</f>
        <v/>
      </c>
      <c r="AE45" s="59" t="str">
        <f>IF(AND(academico!$Y$67="Baja",academico!$AA$67="Mayor"),CONCATENATE("R10C",academico!$O$67),"")</f>
        <v/>
      </c>
      <c r="AF45" s="59" t="str">
        <f>IF(AND(academico!$Y$68="Baja",academico!$AA$68="Mayor"),CONCATENATE("R10C",academico!$O$68),"")</f>
        <v/>
      </c>
      <c r="AG45" s="60" t="str">
        <f>IF(AND(academico!$Y$69="Baja",academico!$AA$69="Mayor"),CONCATENATE("R10C",academico!$O$69),"")</f>
        <v/>
      </c>
      <c r="AH45" s="61" t="str">
        <f>IF(AND(academico!$Y$64="Baja",academico!$AA$64="Catastrófico"),CONCATENATE("R10C",academico!$O$64),"")</f>
        <v/>
      </c>
      <c r="AI45" s="62" t="str">
        <f>IF(AND(academico!$Y$65="Baja",academico!$AA$65="Catastrófico"),CONCATENATE("R10C",academico!$O$65),"")</f>
        <v/>
      </c>
      <c r="AJ45" s="62" t="str">
        <f>IF(AND(academico!$Y$66="Baja",academico!$AA$66="Catastrófico"),CONCATENATE("R10C",academico!$O$66),"")</f>
        <v/>
      </c>
      <c r="AK45" s="62" t="str">
        <f>IF(AND(academico!$Y$67="Baja",academico!$AA$67="Catastrófico"),CONCATENATE("R10C",academico!$O$67),"")</f>
        <v/>
      </c>
      <c r="AL45" s="62" t="str">
        <f>IF(AND(academico!$Y$68="Baja",academico!$AA$68="Catastrófico"),CONCATENATE("R10C",academico!$O$68),"")</f>
        <v/>
      </c>
      <c r="AM45" s="63" t="str">
        <f>IF(AND(academico!$Y$69="Baja",academico!$AA$69="Catastrófico"),CONCATENATE("R10C",academico!$O$69),"")</f>
        <v/>
      </c>
      <c r="AN45" s="83"/>
      <c r="AO45" s="377"/>
      <c r="AP45" s="378"/>
      <c r="AQ45" s="378"/>
      <c r="AR45" s="378"/>
      <c r="AS45" s="378"/>
      <c r="AT45" s="379"/>
    </row>
    <row r="46" spans="1:80" ht="46.5" customHeight="1" x14ac:dyDescent="0.35">
      <c r="A46" s="83"/>
      <c r="B46" s="255"/>
      <c r="C46" s="255"/>
      <c r="D46" s="256"/>
      <c r="E46" s="350" t="s">
        <v>113</v>
      </c>
      <c r="F46" s="351"/>
      <c r="G46" s="351"/>
      <c r="H46" s="351"/>
      <c r="I46" s="368"/>
      <c r="J46" s="73" t="str">
        <f ca="1">IF(AND(academico!$Y$10="Muy Baja",academico!$AA$10="Leve"),CONCATENATE("R1C",academico!$O$10),"")</f>
        <v/>
      </c>
      <c r="K46" s="74" t="str">
        <f ca="1">IF(AND(academico!$Y$11="Muy Baja",academico!$AA$11="Leve"),CONCATENATE("R1C",academico!$O$11),"")</f>
        <v/>
      </c>
      <c r="L46" s="74" t="str">
        <f>IF(AND(academico!$Y$12="Muy Baja",academico!$AA$12="Leve"),CONCATENATE("R1C",academico!$O$12),"")</f>
        <v/>
      </c>
      <c r="M46" s="74" t="str">
        <f>IF(AND(academico!$Y$13="Muy Baja",academico!$AA$13="Leve"),CONCATENATE("R1C",academico!$O$13),"")</f>
        <v/>
      </c>
      <c r="N46" s="74" t="str">
        <f>IF(AND(academico!$Y$14="Muy Baja",academico!$AA$14="Leve"),CONCATENATE("R1C",academico!$O$14),"")</f>
        <v/>
      </c>
      <c r="O46" s="75" t="str">
        <f>IF(AND(academico!$Y$15="Muy Baja",academico!$AA$15="Leve"),CONCATENATE("R1C",academico!$O$15),"")</f>
        <v/>
      </c>
      <c r="P46" s="73" t="str">
        <f ca="1">IF(AND(academico!$Y$10="Muy Baja",academico!$AA$10="Menor"),CONCATENATE("R1C",academico!$O$10),"")</f>
        <v/>
      </c>
      <c r="Q46" s="74" t="str">
        <f ca="1">IF(AND(academico!$Y$11="Muy Baja",academico!$AA$11="Menor"),CONCATENATE("R1C",academico!$O$11),"")</f>
        <v/>
      </c>
      <c r="R46" s="74" t="str">
        <f>IF(AND(academico!$Y$12="Muy Baja",academico!$AA$12="Menor"),CONCATENATE("R1C",academico!$O$12),"")</f>
        <v/>
      </c>
      <c r="S46" s="74" t="str">
        <f>IF(AND(academico!$Y$13="Muy Baja",academico!$AA$13="Menor"),CONCATENATE("R1C",academico!$O$13),"")</f>
        <v/>
      </c>
      <c r="T46" s="74" t="str">
        <f>IF(AND(academico!$Y$14="Muy Baja",academico!$AA$14="Menor"),CONCATENATE("R1C",academico!$O$14),"")</f>
        <v/>
      </c>
      <c r="U46" s="75" t="str">
        <f>IF(AND(academico!$Y$15="Muy Baja",academico!$AA$15="Menor"),CONCATENATE("R1C",academico!$O$15),"")</f>
        <v/>
      </c>
      <c r="V46" s="64" t="str">
        <f ca="1">IF(AND(academico!$Y$10="Muy Baja",academico!$AA$10="Moderado"),CONCATENATE("R1C",academico!$O$10),"")</f>
        <v/>
      </c>
      <c r="W46" s="82" t="str">
        <f ca="1">IF(AND(academico!$Y$11="Muy Baja",academico!$AA$11="Moderado"),CONCATENATE("R1C",academico!$O$11),"")</f>
        <v/>
      </c>
      <c r="X46" s="65" t="str">
        <f>IF(AND(academico!$Y$12="Muy Baja",academico!$AA$12="Moderado"),CONCATENATE("R1C",academico!$O$12),"")</f>
        <v/>
      </c>
      <c r="Y46" s="65" t="str">
        <f>IF(AND(academico!$Y$13="Muy Baja",academico!$AA$13="Moderado"),CONCATENATE("R1C",academico!$O$13),"")</f>
        <v/>
      </c>
      <c r="Z46" s="65" t="str">
        <f>IF(AND(academico!$Y$14="Muy Baja",academico!$AA$14="Moderado"),CONCATENATE("R1C",academico!$O$14),"")</f>
        <v/>
      </c>
      <c r="AA46" s="66" t="str">
        <f>IF(AND(academico!$Y$15="Muy Baja",academico!$AA$15="Moderado"),CONCATENATE("R1C",academico!$O$15),"")</f>
        <v/>
      </c>
      <c r="AB46" s="46" t="str">
        <f ca="1">IF(AND(academico!$Y$10="Muy Baja",academico!$AA$10="Mayor"),CONCATENATE("R1C",academico!$O$10),"")</f>
        <v/>
      </c>
      <c r="AC46" s="47" t="str">
        <f ca="1">IF(AND(academico!$Y$11="Muy Baja",academico!$AA$11="Mayor"),CONCATENATE("R1C",academico!$O$11),"")</f>
        <v/>
      </c>
      <c r="AD46" s="47" t="str">
        <f>IF(AND(academico!$Y$12="Muy Baja",academico!$AA$12="Mayor"),CONCATENATE("R1C",academico!$O$12),"")</f>
        <v/>
      </c>
      <c r="AE46" s="47" t="str">
        <f>IF(AND(academico!$Y$13="Muy Baja",academico!$AA$13="Mayor"),CONCATENATE("R1C",academico!$O$13),"")</f>
        <v/>
      </c>
      <c r="AF46" s="47" t="str">
        <f>IF(AND(academico!$Y$14="Muy Baja",academico!$AA$14="Mayor"),CONCATENATE("R1C",academico!$O$14),"")</f>
        <v/>
      </c>
      <c r="AG46" s="48" t="str">
        <f>IF(AND(academico!$Y$15="Muy Baja",academico!$AA$15="Mayor"),CONCATENATE("R1C",academico!$O$15),"")</f>
        <v/>
      </c>
      <c r="AH46" s="49" t="str">
        <f ca="1">IF(AND(academico!$Y$10="Muy Baja",academico!$AA$10="Catastrófico"),CONCATENATE("R1C",academico!$O$10),"")</f>
        <v/>
      </c>
      <c r="AI46" s="50" t="str">
        <f ca="1">IF(AND(academico!$Y$11="Muy Baja",academico!$AA$11="Catastrófico"),CONCATENATE("R1C",academico!$O$11),"")</f>
        <v/>
      </c>
      <c r="AJ46" s="50" t="str">
        <f>IF(AND(academico!$Y$12="Muy Baja",academico!$AA$12="Catastrófico"),CONCATENATE("R1C",academico!$O$12),"")</f>
        <v/>
      </c>
      <c r="AK46" s="50" t="str">
        <f>IF(AND(academico!$Y$13="Muy Baja",academico!$AA$13="Catastrófico"),CONCATENATE("R1C",academico!$O$13),"")</f>
        <v/>
      </c>
      <c r="AL46" s="50" t="str">
        <f>IF(AND(academico!$Y$14="Muy Baja",academico!$AA$14="Catastrófico"),CONCATENATE("R1C",academico!$O$14),"")</f>
        <v/>
      </c>
      <c r="AM46" s="51" t="str">
        <f>IF(AND(academico!$Y$15="Muy Baja",academico!$AA$15="Catastrófico"),CONCATENATE("R1C",academico!$O$15),"")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25">
      <c r="A47" s="83"/>
      <c r="B47" s="255"/>
      <c r="C47" s="255"/>
      <c r="D47" s="256"/>
      <c r="E47" s="352"/>
      <c r="F47" s="353"/>
      <c r="G47" s="353"/>
      <c r="H47" s="353"/>
      <c r="I47" s="369"/>
      <c r="J47" s="76" t="str">
        <f>IF(AND(academico!$Y$16="Muy Baja",academico!$AA$16="Leve"),CONCATENATE("R2C",academico!$O$16),"")</f>
        <v/>
      </c>
      <c r="K47" s="77" t="str">
        <f>IF(AND(academico!$Y$17="Muy Baja",academico!$AA$17="Leve"),CONCATENATE("R2C",academico!$O$17),"")</f>
        <v/>
      </c>
      <c r="L47" s="77" t="str">
        <f>IF(AND(academico!$Y$18="Muy Baja",academico!$AA$18="Leve"),CONCATENATE("R2C",academico!$O$18),"")</f>
        <v/>
      </c>
      <c r="M47" s="77" t="str">
        <f>IF(AND(academico!$Y$19="Muy Baja",academico!$AA$19="Leve"),CONCATENATE("R2C",academico!$O$19),"")</f>
        <v/>
      </c>
      <c r="N47" s="77" t="str">
        <f>IF(AND(academico!$Y$20="Muy Baja",academico!$AA$20="Leve"),CONCATENATE("R2C",academico!$O$20),"")</f>
        <v/>
      </c>
      <c r="O47" s="78" t="str">
        <f>IF(AND(academico!$Y$21="Muy Baja",academico!$AA$21="Leve"),CONCATENATE("R2C",academico!$O$21),"")</f>
        <v/>
      </c>
      <c r="P47" s="76" t="str">
        <f>IF(AND(academico!$Y$16="Muy Baja",academico!$AA$16="Menor"),CONCATENATE("R2C",academico!$O$16),"")</f>
        <v/>
      </c>
      <c r="Q47" s="77" t="str">
        <f>IF(AND(academico!$Y$17="Muy Baja",academico!$AA$17="Menor"),CONCATENATE("R2C",academico!$O$17),"")</f>
        <v/>
      </c>
      <c r="R47" s="77" t="str">
        <f>IF(AND(academico!$Y$18="Muy Baja",academico!$AA$18="Menor"),CONCATENATE("R2C",academico!$O$18),"")</f>
        <v/>
      </c>
      <c r="S47" s="77" t="str">
        <f>IF(AND(academico!$Y$19="Muy Baja",academico!$AA$19="Menor"),CONCATENATE("R2C",academico!$O$19),"")</f>
        <v/>
      </c>
      <c r="T47" s="77" t="str">
        <f>IF(AND(academico!$Y$20="Muy Baja",academico!$AA$20="Menor"),CONCATENATE("R2C",academico!$O$20),"")</f>
        <v/>
      </c>
      <c r="U47" s="78" t="str">
        <f>IF(AND(academico!$Y$21="Muy Baja",academico!$AA$21="Menor"),CONCATENATE("R2C",academico!$O$21),"")</f>
        <v/>
      </c>
      <c r="V47" s="67" t="str">
        <f>IF(AND(academico!$Y$16="Muy Baja",academico!$AA$16="Moderado"),CONCATENATE("R2C",academico!$O$16),"")</f>
        <v/>
      </c>
      <c r="W47" s="68" t="str">
        <f>IF(AND(academico!$Y$17="Muy Baja",academico!$AA$17="Moderado"),CONCATENATE("R2C",academico!$O$17),"")</f>
        <v/>
      </c>
      <c r="X47" s="68" t="str">
        <f>IF(AND(academico!$Y$18="Muy Baja",academico!$AA$18="Moderado"),CONCATENATE("R2C",academico!$O$18),"")</f>
        <v/>
      </c>
      <c r="Y47" s="68" t="str">
        <f>IF(AND(academico!$Y$19="Muy Baja",academico!$AA$19="Moderado"),CONCATENATE("R2C",academico!$O$19),"")</f>
        <v/>
      </c>
      <c r="Z47" s="68" t="str">
        <f>IF(AND(academico!$Y$20="Muy Baja",academico!$AA$20="Moderado"),CONCATENATE("R2C",academico!$O$20),"")</f>
        <v/>
      </c>
      <c r="AA47" s="69" t="str">
        <f>IF(AND(academico!$Y$21="Muy Baja",academico!$AA$21="Moderado"),CONCATENATE("R2C",academico!$O$21),"")</f>
        <v/>
      </c>
      <c r="AB47" s="52" t="str">
        <f>IF(AND(academico!$Y$16="Muy Baja",academico!$AA$16="Mayor"),CONCATENATE("R2C",academico!$O$16),"")</f>
        <v/>
      </c>
      <c r="AC47" s="53" t="str">
        <f>IF(AND(academico!$Y$17="Muy Baja",academico!$AA$17="Mayor"),CONCATENATE("R2C",academico!$O$17),"")</f>
        <v/>
      </c>
      <c r="AD47" s="53" t="str">
        <f>IF(AND(academico!$Y$18="Muy Baja",academico!$AA$18="Mayor"),CONCATENATE("R2C",academico!$O$18),"")</f>
        <v/>
      </c>
      <c r="AE47" s="53" t="str">
        <f>IF(AND(academico!$Y$19="Muy Baja",academico!$AA$19="Mayor"),CONCATENATE("R2C",academico!$O$19),"")</f>
        <v/>
      </c>
      <c r="AF47" s="53" t="str">
        <f>IF(AND(academico!$Y$20="Muy Baja",academico!$AA$20="Mayor"),CONCATENATE("R2C",academico!$O$20),"")</f>
        <v/>
      </c>
      <c r="AG47" s="54" t="str">
        <f>IF(AND(academico!$Y$21="Muy Baja",academico!$AA$21="Mayor"),CONCATENATE("R2C",academico!$O$21),"")</f>
        <v/>
      </c>
      <c r="AH47" s="55" t="str">
        <f>IF(AND(academico!$Y$16="Muy Baja",academico!$AA$16="Catastrófico"),CONCATENATE("R2C",academico!$O$16),"")</f>
        <v/>
      </c>
      <c r="AI47" s="56" t="str">
        <f>IF(AND(academico!$Y$17="Muy Baja",academico!$AA$17="Catastrófico"),CONCATENATE("R2C",academico!$O$17),"")</f>
        <v/>
      </c>
      <c r="AJ47" s="56" t="str">
        <f>IF(AND(academico!$Y$18="Muy Baja",academico!$AA$18="Catastrófico"),CONCATENATE("R2C",academico!$O$18),"")</f>
        <v/>
      </c>
      <c r="AK47" s="56" t="str">
        <f>IF(AND(academico!$Y$19="Muy Baja",academico!$AA$19="Catastrófico"),CONCATENATE("R2C",academico!$O$19),"")</f>
        <v/>
      </c>
      <c r="AL47" s="56" t="str">
        <f>IF(AND(academico!$Y$20="Muy Baja",academico!$AA$20="Catastrófico"),CONCATENATE("R2C",academico!$O$20),"")</f>
        <v/>
      </c>
      <c r="AM47" s="57" t="str">
        <f>IF(AND(academico!$Y$21="Muy Baja",academico!$AA$21="Catastrófico"),CONCATENATE("R2C",academico!$O$21),"")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25">
      <c r="A48" s="83"/>
      <c r="B48" s="255"/>
      <c r="C48" s="255"/>
      <c r="D48" s="256"/>
      <c r="E48" s="352"/>
      <c r="F48" s="353"/>
      <c r="G48" s="353"/>
      <c r="H48" s="353"/>
      <c r="I48" s="369"/>
      <c r="J48" s="76" t="str">
        <f>IF(AND(academico!$Y$22="Muy Baja",academico!$AA$22="Leve"),CONCATENATE("R3C",academico!$O$22),"")</f>
        <v/>
      </c>
      <c r="K48" s="77" t="str">
        <f>IF(AND(academico!$Y$23="Muy Baja",academico!$AA$23="Leve"),CONCATENATE("R3C",academico!$O$23),"")</f>
        <v/>
      </c>
      <c r="L48" s="77" t="str">
        <f>IF(AND(academico!$Y$24="Muy Baja",academico!$AA$24="Leve"),CONCATENATE("R3C",academico!$O$24),"")</f>
        <v/>
      </c>
      <c r="M48" s="77" t="str">
        <f>IF(AND(academico!$Y$25="Muy Baja",academico!$AA$25="Leve"),CONCATENATE("R3C",academico!$O$25),"")</f>
        <v/>
      </c>
      <c r="N48" s="77" t="str">
        <f>IF(AND(academico!$Y$26="Muy Baja",academico!$AA$26="Leve"),CONCATENATE("R3C",academico!$O$26),"")</f>
        <v/>
      </c>
      <c r="O48" s="78" t="str">
        <f>IF(AND(academico!$Y$27="Muy Baja",academico!$AA$27="Leve"),CONCATENATE("R3C",academico!$O$27),"")</f>
        <v/>
      </c>
      <c r="P48" s="76" t="str">
        <f>IF(AND(academico!$Y$22="Muy Baja",academico!$AA$22="Menor"),CONCATENATE("R3C",academico!$O$22),"")</f>
        <v/>
      </c>
      <c r="Q48" s="77" t="str">
        <f>IF(AND(academico!$Y$23="Muy Baja",academico!$AA$23="Menor"),CONCATENATE("R3C",academico!$O$23),"")</f>
        <v/>
      </c>
      <c r="R48" s="77" t="str">
        <f>IF(AND(academico!$Y$24="Muy Baja",academico!$AA$24="Menor"),CONCATENATE("R3C",academico!$O$24),"")</f>
        <v/>
      </c>
      <c r="S48" s="77" t="str">
        <f>IF(AND(academico!$Y$25="Muy Baja",academico!$AA$25="Menor"),CONCATENATE("R3C",academico!$O$25),"")</f>
        <v/>
      </c>
      <c r="T48" s="77" t="str">
        <f>IF(AND(academico!$Y$26="Muy Baja",academico!$AA$26="Menor"),CONCATENATE("R3C",academico!$O$26),"")</f>
        <v/>
      </c>
      <c r="U48" s="78" t="str">
        <f>IF(AND(academico!$Y$27="Muy Baja",academico!$AA$27="Menor"),CONCATENATE("R3C",academico!$O$27),"")</f>
        <v/>
      </c>
      <c r="V48" s="67" t="str">
        <f>IF(AND(academico!$Y$22="Muy Baja",academico!$AA$22="Moderado"),CONCATENATE("R3C",academico!$O$22),"")</f>
        <v/>
      </c>
      <c r="W48" s="68" t="str">
        <f>IF(AND(academico!$Y$23="Muy Baja",academico!$AA$23="Moderado"),CONCATENATE("R3C",academico!$O$23),"")</f>
        <v/>
      </c>
      <c r="X48" s="68" t="str">
        <f>IF(AND(academico!$Y$24="Muy Baja",academico!$AA$24="Moderado"),CONCATENATE("R3C",academico!$O$24),"")</f>
        <v/>
      </c>
      <c r="Y48" s="68" t="str">
        <f>IF(AND(academico!$Y$25="Muy Baja",academico!$AA$25="Moderado"),CONCATENATE("R3C",academico!$O$25),"")</f>
        <v/>
      </c>
      <c r="Z48" s="68" t="str">
        <f>IF(AND(academico!$Y$26="Muy Baja",academico!$AA$26="Moderado"),CONCATENATE("R3C",academico!$O$26),"")</f>
        <v/>
      </c>
      <c r="AA48" s="69" t="str">
        <f>IF(AND(academico!$Y$27="Muy Baja",academico!$AA$27="Moderado"),CONCATENATE("R3C",academico!$O$27),"")</f>
        <v/>
      </c>
      <c r="AB48" s="52" t="str">
        <f>IF(AND(academico!$Y$22="Muy Baja",academico!$AA$22="Mayor"),CONCATENATE("R3C",academico!$O$22),"")</f>
        <v/>
      </c>
      <c r="AC48" s="53" t="str">
        <f>IF(AND(academico!$Y$23="Muy Baja",academico!$AA$23="Mayor"),CONCATENATE("R3C",academico!$O$23),"")</f>
        <v/>
      </c>
      <c r="AD48" s="53" t="str">
        <f>IF(AND(academico!$Y$24="Muy Baja",academico!$AA$24="Mayor"),CONCATENATE("R3C",academico!$O$24),"")</f>
        <v/>
      </c>
      <c r="AE48" s="53" t="str">
        <f>IF(AND(academico!$Y$25="Muy Baja",academico!$AA$25="Mayor"),CONCATENATE("R3C",academico!$O$25),"")</f>
        <v/>
      </c>
      <c r="AF48" s="53" t="str">
        <f>IF(AND(academico!$Y$26="Muy Baja",academico!$AA$26="Mayor"),CONCATENATE("R3C",academico!$O$26),"")</f>
        <v/>
      </c>
      <c r="AG48" s="54" t="str">
        <f>IF(AND(academico!$Y$27="Muy Baja",academico!$AA$27="Mayor"),CONCATENATE("R3C",academico!$O$27),"")</f>
        <v/>
      </c>
      <c r="AH48" s="55" t="str">
        <f>IF(AND(academico!$Y$22="Muy Baja",academico!$AA$22="Catastrófico"),CONCATENATE("R3C",academico!$O$22),"")</f>
        <v/>
      </c>
      <c r="AI48" s="56" t="str">
        <f>IF(AND(academico!$Y$23="Muy Baja",academico!$AA$23="Catastrófico"),CONCATENATE("R3C",academico!$O$23),"")</f>
        <v/>
      </c>
      <c r="AJ48" s="56" t="str">
        <f>IF(AND(academico!$Y$24="Muy Baja",academico!$AA$24="Catastrófico"),CONCATENATE("R3C",academico!$O$24),"")</f>
        <v/>
      </c>
      <c r="AK48" s="56" t="str">
        <f>IF(AND(academico!$Y$25="Muy Baja",academico!$AA$25="Catastrófico"),CONCATENATE("R3C",academico!$O$25),"")</f>
        <v/>
      </c>
      <c r="AL48" s="56" t="str">
        <f>IF(AND(academico!$Y$26="Muy Baja",academico!$AA$26="Catastrófico"),CONCATENATE("R3C",academico!$O$26),"")</f>
        <v/>
      </c>
      <c r="AM48" s="57" t="str">
        <f>IF(AND(academico!$Y$27="Muy Baja",academico!$AA$27="Catastrófico"),CONCATENATE("R3C",academico!$O$27),"")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25">
      <c r="A49" s="83"/>
      <c r="B49" s="255"/>
      <c r="C49" s="255"/>
      <c r="D49" s="256"/>
      <c r="E49" s="354"/>
      <c r="F49" s="353"/>
      <c r="G49" s="353"/>
      <c r="H49" s="353"/>
      <c r="I49" s="369"/>
      <c r="J49" s="76" t="str">
        <f>IF(AND(academico!$Y$28="Muy Baja",academico!$AA$28="Leve"),CONCATENATE("R4C",academico!$O$28),"")</f>
        <v/>
      </c>
      <c r="K49" s="77" t="str">
        <f>IF(AND(academico!$Y$29="Muy Baja",academico!$AA$29="Leve"),CONCATENATE("R4C",academico!$O$29),"")</f>
        <v/>
      </c>
      <c r="L49" s="77" t="str">
        <f>IF(AND(academico!$Y$30="Muy Baja",academico!$AA$30="Leve"),CONCATENATE("R4C",academico!$O$30),"")</f>
        <v/>
      </c>
      <c r="M49" s="77" t="str">
        <f>IF(AND(academico!$Y$31="Muy Baja",academico!$AA$31="Leve"),CONCATENATE("R4C",academico!$O$31),"")</f>
        <v/>
      </c>
      <c r="N49" s="77" t="str">
        <f>IF(AND(academico!$Y$32="Muy Baja",academico!$AA$32="Leve"),CONCATENATE("R4C",academico!$O$32),"")</f>
        <v/>
      </c>
      <c r="O49" s="78" t="str">
        <f>IF(AND(academico!$Y$33="Muy Baja",academico!$AA$33="Leve"),CONCATENATE("R4C",academico!$O$33),"")</f>
        <v/>
      </c>
      <c r="P49" s="76" t="str">
        <f>IF(AND(academico!$Y$28="Muy Baja",academico!$AA$28="Menor"),CONCATENATE("R4C",academico!$O$28),"")</f>
        <v/>
      </c>
      <c r="Q49" s="77" t="str">
        <f>IF(AND(academico!$Y$29="Muy Baja",academico!$AA$29="Menor"),CONCATENATE("R4C",academico!$O$29),"")</f>
        <v/>
      </c>
      <c r="R49" s="77" t="str">
        <f>IF(AND(academico!$Y$30="Muy Baja",academico!$AA$30="Menor"),CONCATENATE("R4C",academico!$O$30),"")</f>
        <v/>
      </c>
      <c r="S49" s="77" t="str">
        <f>IF(AND(academico!$Y$31="Muy Baja",academico!$AA$31="Menor"),CONCATENATE("R4C",academico!$O$31),"")</f>
        <v/>
      </c>
      <c r="T49" s="77" t="str">
        <f>IF(AND(academico!$Y$32="Muy Baja",academico!$AA$32="Menor"),CONCATENATE("R4C",academico!$O$32),"")</f>
        <v/>
      </c>
      <c r="U49" s="78" t="str">
        <f>IF(AND(academico!$Y$33="Muy Baja",academico!$AA$33="Menor"),CONCATENATE("R4C",academico!$O$33),"")</f>
        <v/>
      </c>
      <c r="V49" s="67" t="str">
        <f>IF(AND(academico!$Y$28="Muy Baja",academico!$AA$28="Moderado"),CONCATENATE("R4C",academico!$O$28),"")</f>
        <v/>
      </c>
      <c r="W49" s="68" t="str">
        <f>IF(AND(academico!$Y$29="Muy Baja",academico!$AA$29="Moderado"),CONCATENATE("R4C",academico!$O$29),"")</f>
        <v/>
      </c>
      <c r="X49" s="68" t="str">
        <f>IF(AND(academico!$Y$30="Muy Baja",academico!$AA$30="Moderado"),CONCATENATE("R4C",academico!$O$30),"")</f>
        <v/>
      </c>
      <c r="Y49" s="68" t="str">
        <f>IF(AND(academico!$Y$31="Muy Baja",academico!$AA$31="Moderado"),CONCATENATE("R4C",academico!$O$31),"")</f>
        <v/>
      </c>
      <c r="Z49" s="68" t="str">
        <f>IF(AND(academico!$Y$32="Muy Baja",academico!$AA$32="Moderado"),CONCATENATE("R4C",academico!$O$32),"")</f>
        <v/>
      </c>
      <c r="AA49" s="69" t="str">
        <f>IF(AND(academico!$Y$33="Muy Baja",academico!$AA$33="Moderado"),CONCATENATE("R4C",academico!$O$33),"")</f>
        <v/>
      </c>
      <c r="AB49" s="52" t="str">
        <f>IF(AND(academico!$Y$28="Muy Baja",academico!$AA$28="Mayor"),CONCATENATE("R4C",academico!$O$28),"")</f>
        <v/>
      </c>
      <c r="AC49" s="53" t="str">
        <f>IF(AND(academico!$Y$29="Muy Baja",academico!$AA$29="Mayor"),CONCATENATE("R4C",academico!$O$29),"")</f>
        <v/>
      </c>
      <c r="AD49" s="53" t="str">
        <f>IF(AND(academico!$Y$30="Muy Baja",academico!$AA$30="Mayor"),CONCATENATE("R4C",academico!$O$30),"")</f>
        <v/>
      </c>
      <c r="AE49" s="53" t="str">
        <f>IF(AND(academico!$Y$31="Muy Baja",academico!$AA$31="Mayor"),CONCATENATE("R4C",academico!$O$31),"")</f>
        <v/>
      </c>
      <c r="AF49" s="53" t="str">
        <f>IF(AND(academico!$Y$32="Muy Baja",academico!$AA$32="Mayor"),CONCATENATE("R4C",academico!$O$32),"")</f>
        <v/>
      </c>
      <c r="AG49" s="54" t="str">
        <f>IF(AND(academico!$Y$33="Muy Baja",academico!$AA$33="Mayor"),CONCATENATE("R4C",academico!$O$33),"")</f>
        <v/>
      </c>
      <c r="AH49" s="55" t="str">
        <f>IF(AND(academico!$Y$28="Muy Baja",academico!$AA$28="Catastrófico"),CONCATENATE("R4C",academico!$O$28),"")</f>
        <v/>
      </c>
      <c r="AI49" s="56" t="str">
        <f>IF(AND(academico!$Y$29="Muy Baja",academico!$AA$29="Catastrófico"),CONCATENATE("R4C",academico!$O$29),"")</f>
        <v/>
      </c>
      <c r="AJ49" s="56" t="str">
        <f>IF(AND(academico!$Y$30="Muy Baja",academico!$AA$30="Catastrófico"),CONCATENATE("R4C",academico!$O$30),"")</f>
        <v/>
      </c>
      <c r="AK49" s="56" t="str">
        <f>IF(AND(academico!$Y$31="Muy Baja",academico!$AA$31="Catastrófico"),CONCATENATE("R4C",academico!$O$31),"")</f>
        <v/>
      </c>
      <c r="AL49" s="56" t="str">
        <f>IF(AND(academico!$Y$32="Muy Baja",academico!$AA$32="Catastrófico"),CONCATENATE("R4C",academico!$O$32),"")</f>
        <v/>
      </c>
      <c r="AM49" s="57" t="str">
        <f>IF(AND(academico!$Y$33="Muy Baja",academico!$AA$33="Catastrófico"),CONCATENATE("R4C",academico!$O$33),"")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25">
      <c r="A50" s="83"/>
      <c r="B50" s="255"/>
      <c r="C50" s="255"/>
      <c r="D50" s="256"/>
      <c r="E50" s="354"/>
      <c r="F50" s="353"/>
      <c r="G50" s="353"/>
      <c r="H50" s="353"/>
      <c r="I50" s="369"/>
      <c r="J50" s="76" t="str">
        <f>IF(AND(academico!$Y$34="Muy Baja",academico!$AA$34="Leve"),CONCATENATE("R5C",academico!$O$34),"")</f>
        <v/>
      </c>
      <c r="K50" s="77" t="str">
        <f>IF(AND(academico!$Y$35="Muy Baja",academico!$AA$35="Leve"),CONCATENATE("R5C",academico!$O$35),"")</f>
        <v/>
      </c>
      <c r="L50" s="77" t="str">
        <f>IF(AND(academico!$Y$36="Muy Baja",academico!$AA$36="Leve"),CONCATENATE("R5C",academico!$O$36),"")</f>
        <v/>
      </c>
      <c r="M50" s="77" t="str">
        <f>IF(AND(academico!$Y$37="Muy Baja",academico!$AA$37="Leve"),CONCATENATE("R5C",academico!$O$37),"")</f>
        <v/>
      </c>
      <c r="N50" s="77" t="str">
        <f>IF(AND(academico!$Y$38="Muy Baja",academico!$AA$38="Leve"),CONCATENATE("R5C",academico!$O$38),"")</f>
        <v/>
      </c>
      <c r="O50" s="78" t="str">
        <f>IF(AND(academico!$Y$39="Muy Baja",academico!$AA$39="Leve"),CONCATENATE("R5C",academico!$O$39),"")</f>
        <v/>
      </c>
      <c r="P50" s="76" t="str">
        <f>IF(AND(academico!$Y$34="Muy Baja",academico!$AA$34="Menor"),CONCATENATE("R5C",academico!$O$34),"")</f>
        <v/>
      </c>
      <c r="Q50" s="77" t="str">
        <f>IF(AND(academico!$Y$35="Muy Baja",academico!$AA$35="Menor"),CONCATENATE("R5C",academico!$O$35),"")</f>
        <v/>
      </c>
      <c r="R50" s="77" t="str">
        <f>IF(AND(academico!$Y$36="Muy Baja",academico!$AA$36="Menor"),CONCATENATE("R5C",academico!$O$36),"")</f>
        <v/>
      </c>
      <c r="S50" s="77" t="str">
        <f>IF(AND(academico!$Y$37="Muy Baja",academico!$AA$37="Menor"),CONCATENATE("R5C",academico!$O$37),"")</f>
        <v/>
      </c>
      <c r="T50" s="77" t="str">
        <f>IF(AND(academico!$Y$38="Muy Baja",academico!$AA$38="Menor"),CONCATENATE("R5C",academico!$O$38),"")</f>
        <v/>
      </c>
      <c r="U50" s="78" t="str">
        <f>IF(AND(academico!$Y$39="Muy Baja",academico!$AA$39="Menor"),CONCATENATE("R5C",academico!$O$39),"")</f>
        <v/>
      </c>
      <c r="V50" s="67" t="str">
        <f>IF(AND(academico!$Y$34="Muy Baja",academico!$AA$34="Moderado"),CONCATENATE("R5C",academico!$O$34),"")</f>
        <v/>
      </c>
      <c r="W50" s="68" t="str">
        <f>IF(AND(academico!$Y$35="Muy Baja",academico!$AA$35="Moderado"),CONCATENATE("R5C",academico!$O$35),"")</f>
        <v/>
      </c>
      <c r="X50" s="68" t="str">
        <f>IF(AND(academico!$Y$36="Muy Baja",academico!$AA$36="Moderado"),CONCATENATE("R5C",academico!$O$36),"")</f>
        <v/>
      </c>
      <c r="Y50" s="68" t="str">
        <f>IF(AND(academico!$Y$37="Muy Baja",academico!$AA$37="Moderado"),CONCATENATE("R5C",academico!$O$37),"")</f>
        <v/>
      </c>
      <c r="Z50" s="68" t="str">
        <f>IF(AND(academico!$Y$38="Muy Baja",academico!$AA$38="Moderado"),CONCATENATE("R5C",academico!$O$38),"")</f>
        <v/>
      </c>
      <c r="AA50" s="69" t="str">
        <f>IF(AND(academico!$Y$39="Muy Baja",academico!$AA$39="Moderado"),CONCATENATE("R5C",academico!$O$39),"")</f>
        <v/>
      </c>
      <c r="AB50" s="52" t="str">
        <f>IF(AND(academico!$Y$34="Muy Baja",academico!$AA$34="Mayor"),CONCATENATE("R5C",academico!$O$34),"")</f>
        <v/>
      </c>
      <c r="AC50" s="53" t="str">
        <f>IF(AND(academico!$Y$35="Muy Baja",academico!$AA$35="Mayor"),CONCATENATE("R5C",academico!$O$35),"")</f>
        <v/>
      </c>
      <c r="AD50" s="53" t="str">
        <f>IF(AND(academico!$Y$36="Muy Baja",academico!$AA$36="Mayor"),CONCATENATE("R5C",academico!$O$36),"")</f>
        <v/>
      </c>
      <c r="AE50" s="53" t="str">
        <f>IF(AND(academico!$Y$37="Muy Baja",academico!$AA$37="Mayor"),CONCATENATE("R5C",academico!$O$37),"")</f>
        <v/>
      </c>
      <c r="AF50" s="53" t="str">
        <f>IF(AND(academico!$Y$38="Muy Baja",academico!$AA$38="Mayor"),CONCATENATE("R5C",academico!$O$38),"")</f>
        <v/>
      </c>
      <c r="AG50" s="54" t="str">
        <f>IF(AND(academico!$Y$39="Muy Baja",academico!$AA$39="Mayor"),CONCATENATE("R5C",academico!$O$39),"")</f>
        <v/>
      </c>
      <c r="AH50" s="55" t="str">
        <f>IF(AND(academico!$Y$34="Muy Baja",academico!$AA$34="Catastrófico"),CONCATENATE("R5C",academico!$O$34),"")</f>
        <v/>
      </c>
      <c r="AI50" s="56" t="str">
        <f>IF(AND(academico!$Y$35="Muy Baja",academico!$AA$35="Catastrófico"),CONCATENATE("R5C",academico!$O$35),"")</f>
        <v/>
      </c>
      <c r="AJ50" s="56" t="str">
        <f>IF(AND(academico!$Y$36="Muy Baja",academico!$AA$36="Catastrófico"),CONCATENATE("R5C",academico!$O$36),"")</f>
        <v/>
      </c>
      <c r="AK50" s="56" t="str">
        <f>IF(AND(academico!$Y$37="Muy Baja",academico!$AA$37="Catastrófico"),CONCATENATE("R5C",academico!$O$37),"")</f>
        <v/>
      </c>
      <c r="AL50" s="56" t="str">
        <f>IF(AND(academico!$Y$38="Muy Baja",academico!$AA$38="Catastrófico"),CONCATENATE("R5C",academico!$O$38),"")</f>
        <v/>
      </c>
      <c r="AM50" s="57" t="str">
        <f>IF(AND(academico!$Y$39="Muy Baja",academico!$AA$39="Catastrófico"),CONCATENATE("R5C",academico!$O$39),"")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25">
      <c r="A51" s="83"/>
      <c r="B51" s="255"/>
      <c r="C51" s="255"/>
      <c r="D51" s="256"/>
      <c r="E51" s="354"/>
      <c r="F51" s="353"/>
      <c r="G51" s="353"/>
      <c r="H51" s="353"/>
      <c r="I51" s="369"/>
      <c r="J51" s="76" t="str">
        <f>IF(AND(academico!$Y$40="Muy Baja",academico!$AA$40="Leve"),CONCATENATE("R6C",academico!$O$40),"")</f>
        <v/>
      </c>
      <c r="K51" s="77" t="str">
        <f>IF(AND(academico!$Y$41="Muy Baja",academico!$AA$41="Leve"),CONCATENATE("R6C",academico!$O$41),"")</f>
        <v/>
      </c>
      <c r="L51" s="77" t="str">
        <f>IF(AND(academico!$Y$42="Muy Baja",academico!$AA$42="Leve"),CONCATENATE("R6C",academico!$O$42),"")</f>
        <v/>
      </c>
      <c r="M51" s="77" t="str">
        <f>IF(AND(academico!$Y$43="Muy Baja",academico!$AA$43="Leve"),CONCATENATE("R6C",academico!$O$43),"")</f>
        <v/>
      </c>
      <c r="N51" s="77" t="str">
        <f>IF(AND(academico!$Y$44="Muy Baja",academico!$AA$44="Leve"),CONCATENATE("R6C",academico!$O$44),"")</f>
        <v/>
      </c>
      <c r="O51" s="78" t="str">
        <f>IF(AND(academico!$Y$45="Muy Baja",academico!$AA$45="Leve"),CONCATENATE("R6C",academico!$O$45),"")</f>
        <v/>
      </c>
      <c r="P51" s="76" t="str">
        <f>IF(AND(academico!$Y$40="Muy Baja",academico!$AA$40="Menor"),CONCATENATE("R6C",academico!$O$40),"")</f>
        <v/>
      </c>
      <c r="Q51" s="77" t="str">
        <f>IF(AND(academico!$Y$41="Muy Baja",academico!$AA$41="Menor"),CONCATENATE("R6C",academico!$O$41),"")</f>
        <v/>
      </c>
      <c r="R51" s="77" t="str">
        <f>IF(AND(academico!$Y$42="Muy Baja",academico!$AA$42="Menor"),CONCATENATE("R6C",academico!$O$42),"")</f>
        <v/>
      </c>
      <c r="S51" s="77" t="str">
        <f>IF(AND(academico!$Y$43="Muy Baja",academico!$AA$43="Menor"),CONCATENATE("R6C",academico!$O$43),"")</f>
        <v/>
      </c>
      <c r="T51" s="77" t="str">
        <f>IF(AND(academico!$Y$44="Muy Baja",academico!$AA$44="Menor"),CONCATENATE("R6C",academico!$O$44),"")</f>
        <v/>
      </c>
      <c r="U51" s="78" t="str">
        <f>IF(AND(academico!$Y$45="Muy Baja",academico!$AA$45="Menor"),CONCATENATE("R6C",academico!$O$45),"")</f>
        <v/>
      </c>
      <c r="V51" s="67" t="str">
        <f>IF(AND(academico!$Y$40="Muy Baja",academico!$AA$40="Moderado"),CONCATENATE("R6C",academico!$O$40),"")</f>
        <v/>
      </c>
      <c r="W51" s="68" t="str">
        <f>IF(AND(academico!$Y$41="Muy Baja",academico!$AA$41="Moderado"),CONCATENATE("R6C",academico!$O$41),"")</f>
        <v/>
      </c>
      <c r="X51" s="68" t="str">
        <f>IF(AND(academico!$Y$42="Muy Baja",academico!$AA$42="Moderado"),CONCATENATE("R6C",academico!$O$42),"")</f>
        <v/>
      </c>
      <c r="Y51" s="68" t="str">
        <f>IF(AND(academico!$Y$43="Muy Baja",academico!$AA$43="Moderado"),CONCATENATE("R6C",academico!$O$43),"")</f>
        <v/>
      </c>
      <c r="Z51" s="68" t="str">
        <f>IF(AND(academico!$Y$44="Muy Baja",academico!$AA$44="Moderado"),CONCATENATE("R6C",academico!$O$44),"")</f>
        <v/>
      </c>
      <c r="AA51" s="69" t="str">
        <f>IF(AND(academico!$Y$45="Muy Baja",academico!$AA$45="Moderado"),CONCATENATE("R6C",academico!$O$45),"")</f>
        <v/>
      </c>
      <c r="AB51" s="52" t="str">
        <f>IF(AND(academico!$Y$40="Muy Baja",academico!$AA$40="Mayor"),CONCATENATE("R6C",academico!$O$40),"")</f>
        <v/>
      </c>
      <c r="AC51" s="53" t="str">
        <f>IF(AND(academico!$Y$41="Muy Baja",academico!$AA$41="Mayor"),CONCATENATE("R6C",academico!$O$41),"")</f>
        <v/>
      </c>
      <c r="AD51" s="53" t="str">
        <f>IF(AND(academico!$Y$42="Muy Baja",academico!$AA$42="Mayor"),CONCATENATE("R6C",academico!$O$42),"")</f>
        <v/>
      </c>
      <c r="AE51" s="53" t="str">
        <f>IF(AND(academico!$Y$43="Muy Baja",academico!$AA$43="Mayor"),CONCATENATE("R6C",academico!$O$43),"")</f>
        <v/>
      </c>
      <c r="AF51" s="53" t="str">
        <f>IF(AND(academico!$Y$44="Muy Baja",academico!$AA$44="Mayor"),CONCATENATE("R6C",academico!$O$44),"")</f>
        <v/>
      </c>
      <c r="AG51" s="54" t="str">
        <f>IF(AND(academico!$Y$45="Muy Baja",academico!$AA$45="Mayor"),CONCATENATE("R6C",academico!$O$45),"")</f>
        <v/>
      </c>
      <c r="AH51" s="55" t="str">
        <f>IF(AND(academico!$Y$40="Muy Baja",academico!$AA$40="Catastrófico"),CONCATENATE("R6C",academico!$O$40),"")</f>
        <v/>
      </c>
      <c r="AI51" s="56" t="str">
        <f>IF(AND(academico!$Y$41="Muy Baja",academico!$AA$41="Catastrófico"),CONCATENATE("R6C",academico!$O$41),"")</f>
        <v/>
      </c>
      <c r="AJ51" s="56" t="str">
        <f>IF(AND(academico!$Y$42="Muy Baja",academico!$AA$42="Catastrófico"),CONCATENATE("R6C",academico!$O$42),"")</f>
        <v/>
      </c>
      <c r="AK51" s="56" t="str">
        <f>IF(AND(academico!$Y$43="Muy Baja",academico!$AA$43="Catastrófico"),CONCATENATE("R6C",academico!$O$43),"")</f>
        <v/>
      </c>
      <c r="AL51" s="56" t="str">
        <f>IF(AND(academico!$Y$44="Muy Baja",academico!$AA$44="Catastrófico"),CONCATENATE("R6C",academico!$O$44),"")</f>
        <v/>
      </c>
      <c r="AM51" s="57" t="str">
        <f>IF(AND(academico!$Y$45="Muy Baja",academico!$AA$45="Catastrófico"),CONCATENATE("R6C",academico!$O$45),"")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25">
      <c r="A52" s="83"/>
      <c r="B52" s="255"/>
      <c r="C52" s="255"/>
      <c r="D52" s="256"/>
      <c r="E52" s="354"/>
      <c r="F52" s="353"/>
      <c r="G52" s="353"/>
      <c r="H52" s="353"/>
      <c r="I52" s="369"/>
      <c r="J52" s="76" t="str">
        <f>IF(AND(academico!$Y$46="Muy Baja",academico!$AA$46="Leve"),CONCATENATE("R7C",academico!$O$46),"")</f>
        <v/>
      </c>
      <c r="K52" s="77" t="str">
        <f>IF(AND(academico!$Y$47="Muy Baja",academico!$AA$47="Leve"),CONCATENATE("R7C",academico!$O$47),"")</f>
        <v/>
      </c>
      <c r="L52" s="77" t="str">
        <f>IF(AND(academico!$Y$48="Muy Baja",academico!$AA$48="Leve"),CONCATENATE("R7C",academico!$O$48),"")</f>
        <v/>
      </c>
      <c r="M52" s="77" t="str">
        <f>IF(AND(academico!$Y$49="Muy Baja",academico!$AA$49="Leve"),CONCATENATE("R7C",academico!$O$49),"")</f>
        <v/>
      </c>
      <c r="N52" s="77" t="str">
        <f>IF(AND(academico!$Y$50="Muy Baja",academico!$AA$50="Leve"),CONCATENATE("R7C",academico!$O$50),"")</f>
        <v/>
      </c>
      <c r="O52" s="78" t="str">
        <f>IF(AND(academico!$Y$51="Muy Baja",academico!$AA$51="Leve"),CONCATENATE("R7C",academico!$O$51),"")</f>
        <v/>
      </c>
      <c r="P52" s="76" t="str">
        <f>IF(AND(academico!$Y$46="Muy Baja",academico!$AA$46="Menor"),CONCATENATE("R7C",academico!$O$46),"")</f>
        <v/>
      </c>
      <c r="Q52" s="77" t="str">
        <f>IF(AND(academico!$Y$47="Muy Baja",academico!$AA$47="Menor"),CONCATENATE("R7C",academico!$O$47),"")</f>
        <v/>
      </c>
      <c r="R52" s="77" t="str">
        <f>IF(AND(academico!$Y$48="Muy Baja",academico!$AA$48="Menor"),CONCATENATE("R7C",academico!$O$48),"")</f>
        <v/>
      </c>
      <c r="S52" s="77" t="str">
        <f>IF(AND(academico!$Y$49="Muy Baja",academico!$AA$49="Menor"),CONCATENATE("R7C",academico!$O$49),"")</f>
        <v/>
      </c>
      <c r="T52" s="77" t="str">
        <f>IF(AND(academico!$Y$50="Muy Baja",academico!$AA$50="Menor"),CONCATENATE("R7C",academico!$O$50),"")</f>
        <v/>
      </c>
      <c r="U52" s="78" t="str">
        <f>IF(AND(academico!$Y$51="Muy Baja",academico!$AA$51="Menor"),CONCATENATE("R7C",academico!$O$51),"")</f>
        <v/>
      </c>
      <c r="V52" s="67" t="str">
        <f>IF(AND(academico!$Y$46="Muy Baja",academico!$AA$46="Moderado"),CONCATENATE("R7C",academico!$O$46),"")</f>
        <v/>
      </c>
      <c r="W52" s="68" t="str">
        <f>IF(AND(academico!$Y$47="Muy Baja",academico!$AA$47="Moderado"),CONCATENATE("R7C",academico!$O$47),"")</f>
        <v/>
      </c>
      <c r="X52" s="68" t="str">
        <f>IF(AND(academico!$Y$48="Muy Baja",academico!$AA$48="Moderado"),CONCATENATE("R7C",academico!$O$48),"")</f>
        <v/>
      </c>
      <c r="Y52" s="68" t="str">
        <f>IF(AND(academico!$Y$49="Muy Baja",academico!$AA$49="Moderado"),CONCATENATE("R7C",academico!$O$49),"")</f>
        <v/>
      </c>
      <c r="Z52" s="68" t="str">
        <f>IF(AND(academico!$Y$50="Muy Baja",academico!$AA$50="Moderado"),CONCATENATE("R7C",academico!$O$50),"")</f>
        <v/>
      </c>
      <c r="AA52" s="69" t="str">
        <f>IF(AND(academico!$Y$51="Muy Baja",academico!$AA$51="Moderado"),CONCATENATE("R7C",academico!$O$51),"")</f>
        <v/>
      </c>
      <c r="AB52" s="52" t="str">
        <f>IF(AND(academico!$Y$46="Muy Baja",academico!$AA$46="Mayor"),CONCATENATE("R7C",academico!$O$46),"")</f>
        <v/>
      </c>
      <c r="AC52" s="53" t="str">
        <f>IF(AND(academico!$Y$47="Muy Baja",academico!$AA$47="Mayor"),CONCATENATE("R7C",academico!$O$47),"")</f>
        <v/>
      </c>
      <c r="AD52" s="53" t="str">
        <f>IF(AND(academico!$Y$48="Muy Baja",academico!$AA$48="Mayor"),CONCATENATE("R7C",academico!$O$48),"")</f>
        <v/>
      </c>
      <c r="AE52" s="53" t="str">
        <f>IF(AND(academico!$Y$49="Muy Baja",academico!$AA$49="Mayor"),CONCATENATE("R7C",academico!$O$49),"")</f>
        <v/>
      </c>
      <c r="AF52" s="53" t="str">
        <f>IF(AND(academico!$Y$50="Muy Baja",academico!$AA$50="Mayor"),CONCATENATE("R7C",academico!$O$50),"")</f>
        <v/>
      </c>
      <c r="AG52" s="54" t="str">
        <f>IF(AND(academico!$Y$51="Muy Baja",academico!$AA$51="Mayor"),CONCATENATE("R7C",academico!$O$51),"")</f>
        <v/>
      </c>
      <c r="AH52" s="55" t="str">
        <f>IF(AND(academico!$Y$46="Muy Baja",academico!$AA$46="Catastrófico"),CONCATENATE("R7C",academico!$O$46),"")</f>
        <v/>
      </c>
      <c r="AI52" s="56" t="str">
        <f>IF(AND(academico!$Y$47="Muy Baja",academico!$AA$47="Catastrófico"),CONCATENATE("R7C",academico!$O$47),"")</f>
        <v/>
      </c>
      <c r="AJ52" s="56" t="str">
        <f>IF(AND(academico!$Y$48="Muy Baja",academico!$AA$48="Catastrófico"),CONCATENATE("R7C",academico!$O$48),"")</f>
        <v/>
      </c>
      <c r="AK52" s="56" t="str">
        <f>IF(AND(academico!$Y$49="Muy Baja",academico!$AA$49="Catastrófico"),CONCATENATE("R7C",academico!$O$49),"")</f>
        <v/>
      </c>
      <c r="AL52" s="56" t="str">
        <f>IF(AND(academico!$Y$50="Muy Baja",academico!$AA$50="Catastrófico"),CONCATENATE("R7C",academico!$O$50),"")</f>
        <v/>
      </c>
      <c r="AM52" s="57" t="str">
        <f>IF(AND(academico!$Y$51="Muy Baja",academico!$AA$51="Catastrófico"),CONCATENATE("R7C",academico!$O$51),"")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255"/>
      <c r="C53" s="255"/>
      <c r="D53" s="256"/>
      <c r="E53" s="354"/>
      <c r="F53" s="353"/>
      <c r="G53" s="353"/>
      <c r="H53" s="353"/>
      <c r="I53" s="369"/>
      <c r="J53" s="76" t="str">
        <f>IF(AND(academico!$Y$52="Muy Baja",academico!$AA$52="Leve"),CONCATENATE("R8C",academico!$O$52),"")</f>
        <v/>
      </c>
      <c r="K53" s="77" t="str">
        <f>IF(AND(academico!$Y$53="Muy Baja",academico!$AA$53="Leve"),CONCATENATE("R8C",academico!$O$53),"")</f>
        <v/>
      </c>
      <c r="L53" s="77" t="str">
        <f>IF(AND(academico!$Y$54="Muy Baja",academico!$AA$54="Leve"),CONCATENATE("R8C",academico!$O$54),"")</f>
        <v/>
      </c>
      <c r="M53" s="77" t="str">
        <f>IF(AND(academico!$Y$55="Muy Baja",academico!$AA$55="Leve"),CONCATENATE("R8C",academico!$O$55),"")</f>
        <v/>
      </c>
      <c r="N53" s="77" t="str">
        <f>IF(AND(academico!$Y$56="Muy Baja",academico!$AA$56="Leve"),CONCATENATE("R8C",academico!$O$56),"")</f>
        <v/>
      </c>
      <c r="O53" s="78" t="str">
        <f>IF(AND(academico!$Y$57="Muy Baja",academico!$AA$57="Leve"),CONCATENATE("R8C",academico!$O$57),"")</f>
        <v/>
      </c>
      <c r="P53" s="76" t="str">
        <f>IF(AND(academico!$Y$52="Muy Baja",academico!$AA$52="Menor"),CONCATENATE("R8C",academico!$O$52),"")</f>
        <v/>
      </c>
      <c r="Q53" s="77" t="str">
        <f>IF(AND(academico!$Y$53="Muy Baja",academico!$AA$53="Menor"),CONCATENATE("R8C",academico!$O$53),"")</f>
        <v/>
      </c>
      <c r="R53" s="77" t="str">
        <f>IF(AND(academico!$Y$54="Muy Baja",academico!$AA$54="Menor"),CONCATENATE("R8C",academico!$O$54),"")</f>
        <v/>
      </c>
      <c r="S53" s="77" t="str">
        <f>IF(AND(academico!$Y$55="Muy Baja",academico!$AA$55="Menor"),CONCATENATE("R8C",academico!$O$55),"")</f>
        <v/>
      </c>
      <c r="T53" s="77" t="str">
        <f>IF(AND(academico!$Y$56="Muy Baja",academico!$AA$56="Menor"),CONCATENATE("R8C",academico!$O$56),"")</f>
        <v/>
      </c>
      <c r="U53" s="78" t="str">
        <f>IF(AND(academico!$Y$57="Muy Baja",academico!$AA$57="Menor"),CONCATENATE("R8C",academico!$O$57),"")</f>
        <v/>
      </c>
      <c r="V53" s="67" t="str">
        <f>IF(AND(academico!$Y$52="Muy Baja",academico!$AA$52="Moderado"),CONCATENATE("R8C",academico!$O$52),"")</f>
        <v/>
      </c>
      <c r="W53" s="68" t="str">
        <f>IF(AND(academico!$Y$53="Muy Baja",academico!$AA$53="Moderado"),CONCATENATE("R8C",academico!$O$53),"")</f>
        <v/>
      </c>
      <c r="X53" s="68" t="str">
        <f>IF(AND(academico!$Y$54="Muy Baja",academico!$AA$54="Moderado"),CONCATENATE("R8C",academico!$O$54),"")</f>
        <v/>
      </c>
      <c r="Y53" s="68" t="str">
        <f>IF(AND(academico!$Y$55="Muy Baja",academico!$AA$55="Moderado"),CONCATENATE("R8C",academico!$O$55),"")</f>
        <v/>
      </c>
      <c r="Z53" s="68" t="str">
        <f>IF(AND(academico!$Y$56="Muy Baja",academico!$AA$56="Moderado"),CONCATENATE("R8C",academico!$O$56),"")</f>
        <v/>
      </c>
      <c r="AA53" s="69" t="str">
        <f>IF(AND(academico!$Y$57="Muy Baja",academico!$AA$57="Moderado"),CONCATENATE("R8C",academico!$O$57),"")</f>
        <v/>
      </c>
      <c r="AB53" s="52" t="str">
        <f>IF(AND(academico!$Y$52="Muy Baja",academico!$AA$52="Mayor"),CONCATENATE("R8C",academico!$O$52),"")</f>
        <v/>
      </c>
      <c r="AC53" s="53" t="str">
        <f>IF(AND(academico!$Y$53="Muy Baja",academico!$AA$53="Mayor"),CONCATENATE("R8C",academico!$O$53),"")</f>
        <v/>
      </c>
      <c r="AD53" s="53" t="str">
        <f>IF(AND(academico!$Y$54="Muy Baja",academico!$AA$54="Mayor"),CONCATENATE("R8C",academico!$O$54),"")</f>
        <v/>
      </c>
      <c r="AE53" s="53" t="str">
        <f>IF(AND(academico!$Y$55="Muy Baja",academico!$AA$55="Mayor"),CONCATENATE("R8C",academico!$O$55),"")</f>
        <v/>
      </c>
      <c r="AF53" s="53" t="str">
        <f>IF(AND(academico!$Y$56="Muy Baja",academico!$AA$56="Mayor"),CONCATENATE("R8C",academico!$O$56),"")</f>
        <v/>
      </c>
      <c r="AG53" s="54" t="str">
        <f>IF(AND(academico!$Y$57="Muy Baja",academico!$AA$57="Mayor"),CONCATENATE("R8C",academico!$O$57),"")</f>
        <v/>
      </c>
      <c r="AH53" s="55" t="str">
        <f>IF(AND(academico!$Y$52="Muy Baja",academico!$AA$52="Catastrófico"),CONCATENATE("R8C",academico!$O$52),"")</f>
        <v/>
      </c>
      <c r="AI53" s="56" t="str">
        <f>IF(AND(academico!$Y$53="Muy Baja",academico!$AA$53="Catastrófico"),CONCATENATE("R8C",academico!$O$53),"")</f>
        <v/>
      </c>
      <c r="AJ53" s="56" t="str">
        <f>IF(AND(academico!$Y$54="Muy Baja",academico!$AA$54="Catastrófico"),CONCATENATE("R8C",academico!$O$54),"")</f>
        <v/>
      </c>
      <c r="AK53" s="56" t="str">
        <f>IF(AND(academico!$Y$55="Muy Baja",academico!$AA$55="Catastrófico"),CONCATENATE("R8C",academico!$O$55),"")</f>
        <v/>
      </c>
      <c r="AL53" s="56" t="str">
        <f>IF(AND(academico!$Y$56="Muy Baja",academico!$AA$56="Catastrófico"),CONCATENATE("R8C",academico!$O$56),"")</f>
        <v/>
      </c>
      <c r="AM53" s="57" t="str">
        <f>IF(AND(academico!$Y$57="Muy Baja",academico!$AA$57="Catastrófico"),CONCATENATE("R8C",academico!$O$57),"")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255"/>
      <c r="C54" s="255"/>
      <c r="D54" s="256"/>
      <c r="E54" s="354"/>
      <c r="F54" s="353"/>
      <c r="G54" s="353"/>
      <c r="H54" s="353"/>
      <c r="I54" s="369"/>
      <c r="J54" s="76" t="str">
        <f>IF(AND(academico!$Y$58="Muy Baja",academico!$AA$58="Leve"),CONCATENATE("R9C",academico!$O$58),"")</f>
        <v/>
      </c>
      <c r="K54" s="77" t="str">
        <f>IF(AND(academico!$Y$59="Muy Baja",academico!$AA$59="Leve"),CONCATENATE("R9C",academico!$O$59),"")</f>
        <v/>
      </c>
      <c r="L54" s="77" t="str">
        <f>IF(AND(academico!$Y$60="Muy Baja",academico!$AA$60="Leve"),CONCATENATE("R9C",academico!$O$60),"")</f>
        <v/>
      </c>
      <c r="M54" s="77" t="str">
        <f>IF(AND(academico!$Y$61="Muy Baja",academico!$AA$61="Leve"),CONCATENATE("R9C",academico!$O$61),"")</f>
        <v/>
      </c>
      <c r="N54" s="77" t="str">
        <f>IF(AND(academico!$Y$62="Muy Baja",academico!$AA$62="Leve"),CONCATENATE("R9C",academico!$O$62),"")</f>
        <v/>
      </c>
      <c r="O54" s="78" t="str">
        <f>IF(AND(academico!$Y$63="Muy Baja",academico!$AA$63="Leve"),CONCATENATE("R9C",academico!$O$63),"")</f>
        <v/>
      </c>
      <c r="P54" s="76" t="str">
        <f>IF(AND(academico!$Y$58="Muy Baja",academico!$AA$58="Menor"),CONCATENATE("R9C",academico!$O$58),"")</f>
        <v/>
      </c>
      <c r="Q54" s="77" t="str">
        <f>IF(AND(academico!$Y$59="Muy Baja",academico!$AA$59="Menor"),CONCATENATE("R9C",academico!$O$59),"")</f>
        <v/>
      </c>
      <c r="R54" s="77" t="str">
        <f>IF(AND(academico!$Y$60="Muy Baja",academico!$AA$60="Menor"),CONCATENATE("R9C",academico!$O$60),"")</f>
        <v/>
      </c>
      <c r="S54" s="77" t="str">
        <f>IF(AND(academico!$Y$61="Muy Baja",academico!$AA$61="Menor"),CONCATENATE("R9C",academico!$O$61),"")</f>
        <v/>
      </c>
      <c r="T54" s="77" t="str">
        <f>IF(AND(academico!$Y$62="Muy Baja",academico!$AA$62="Menor"),CONCATENATE("R9C",academico!$O$62),"")</f>
        <v/>
      </c>
      <c r="U54" s="78" t="str">
        <f>IF(AND(academico!$Y$63="Muy Baja",academico!$AA$63="Menor"),CONCATENATE("R9C",academico!$O$63),"")</f>
        <v/>
      </c>
      <c r="V54" s="67" t="str">
        <f>IF(AND(academico!$Y$58="Muy Baja",academico!$AA$58="Moderado"),CONCATENATE("R9C",academico!$O$58),"")</f>
        <v/>
      </c>
      <c r="W54" s="68" t="str">
        <f>IF(AND(academico!$Y$59="Muy Baja",academico!$AA$59="Moderado"),CONCATENATE("R9C",academico!$O$59),"")</f>
        <v/>
      </c>
      <c r="X54" s="68" t="str">
        <f>IF(AND(academico!$Y$60="Muy Baja",academico!$AA$60="Moderado"),CONCATENATE("R9C",academico!$O$60),"")</f>
        <v/>
      </c>
      <c r="Y54" s="68" t="str">
        <f>IF(AND(academico!$Y$61="Muy Baja",academico!$AA$61="Moderado"),CONCATENATE("R9C",academico!$O$61),"")</f>
        <v/>
      </c>
      <c r="Z54" s="68" t="str">
        <f>IF(AND(academico!$Y$62="Muy Baja",academico!$AA$62="Moderado"),CONCATENATE("R9C",academico!$O$62),"")</f>
        <v/>
      </c>
      <c r="AA54" s="69" t="str">
        <f>IF(AND(academico!$Y$63="Muy Baja",academico!$AA$63="Moderado"),CONCATENATE("R9C",academico!$O$63),"")</f>
        <v/>
      </c>
      <c r="AB54" s="52" t="str">
        <f>IF(AND(academico!$Y$58="Muy Baja",academico!$AA$58="Mayor"),CONCATENATE("R9C",academico!$O$58),"")</f>
        <v/>
      </c>
      <c r="AC54" s="53" t="str">
        <f>IF(AND(academico!$Y$59="Muy Baja",academico!$AA$59="Mayor"),CONCATENATE("R9C",academico!$O$59),"")</f>
        <v/>
      </c>
      <c r="AD54" s="53" t="str">
        <f>IF(AND(academico!$Y$60="Muy Baja",academico!$AA$60="Mayor"),CONCATENATE("R9C",academico!$O$60),"")</f>
        <v/>
      </c>
      <c r="AE54" s="53" t="str">
        <f>IF(AND(academico!$Y$61="Muy Baja",academico!$AA$61="Mayor"),CONCATENATE("R9C",academico!$O$61),"")</f>
        <v/>
      </c>
      <c r="AF54" s="53" t="str">
        <f>IF(AND(academico!$Y$62="Muy Baja",academico!$AA$62="Mayor"),CONCATENATE("R9C",academico!$O$62),"")</f>
        <v/>
      </c>
      <c r="AG54" s="54" t="str">
        <f>IF(AND(academico!$Y$63="Muy Baja",academico!$AA$63="Mayor"),CONCATENATE("R9C",academico!$O$63),"")</f>
        <v/>
      </c>
      <c r="AH54" s="55" t="str">
        <f>IF(AND(academico!$Y$58="Muy Baja",academico!$AA$58="Catastrófico"),CONCATENATE("R9C",academico!$O$58),"")</f>
        <v/>
      </c>
      <c r="AI54" s="56" t="str">
        <f>IF(AND(academico!$Y$59="Muy Baja",academico!$AA$59="Catastrófico"),CONCATENATE("R9C",academico!$O$59),"")</f>
        <v/>
      </c>
      <c r="AJ54" s="56" t="str">
        <f>IF(AND(academico!$Y$60="Muy Baja",academico!$AA$60="Catastrófico"),CONCATENATE("R9C",academico!$O$60),"")</f>
        <v/>
      </c>
      <c r="AK54" s="56" t="str">
        <f>IF(AND(academico!$Y$61="Muy Baja",academico!$AA$61="Catastrófico"),CONCATENATE("R9C",academico!$O$61),"")</f>
        <v/>
      </c>
      <c r="AL54" s="56" t="str">
        <f>IF(AND(academico!$Y$62="Muy Baja",academico!$AA$62="Catastrófico"),CONCATENATE("R9C",academico!$O$62),"")</f>
        <v/>
      </c>
      <c r="AM54" s="57" t="str">
        <f>IF(AND(academico!$Y$63="Muy Baja",academico!$AA$63="Catastrófico"),CONCATENATE("R9C",academico!$O$63),"")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
      <c r="A55" s="83"/>
      <c r="B55" s="255"/>
      <c r="C55" s="255"/>
      <c r="D55" s="256"/>
      <c r="E55" s="355"/>
      <c r="F55" s="356"/>
      <c r="G55" s="356"/>
      <c r="H55" s="356"/>
      <c r="I55" s="370"/>
      <c r="J55" s="79" t="str">
        <f>IF(AND(academico!$Y$64="Muy Baja",academico!$AA$64="Leve"),CONCATENATE("R10C",academico!$O$64),"")</f>
        <v/>
      </c>
      <c r="K55" s="80" t="str">
        <f>IF(AND(academico!$Y$65="Muy Baja",academico!$AA$65="Leve"),CONCATENATE("R10C",academico!$O$65),"")</f>
        <v/>
      </c>
      <c r="L55" s="80" t="str">
        <f>IF(AND(academico!$Y$66="Muy Baja",academico!$AA$66="Leve"),CONCATENATE("R10C",academico!$O$66),"")</f>
        <v/>
      </c>
      <c r="M55" s="80" t="str">
        <f>IF(AND(academico!$Y$67="Muy Baja",academico!$AA$67="Leve"),CONCATENATE("R10C",academico!$O$67),"")</f>
        <v/>
      </c>
      <c r="N55" s="80" t="str">
        <f>IF(AND(academico!$Y$68="Muy Baja",academico!$AA$68="Leve"),CONCATENATE("R10C",academico!$O$68),"")</f>
        <v/>
      </c>
      <c r="O55" s="81" t="str">
        <f>IF(AND(academico!$Y$69="Muy Baja",academico!$AA$69="Leve"),CONCATENATE("R10C",academico!$O$69),"")</f>
        <v/>
      </c>
      <c r="P55" s="79" t="str">
        <f>IF(AND(academico!$Y$64="Muy Baja",academico!$AA$64="Menor"),CONCATENATE("R10C",academico!$O$64),"")</f>
        <v/>
      </c>
      <c r="Q55" s="80" t="str">
        <f>IF(AND(academico!$Y$65="Muy Baja",academico!$AA$65="Menor"),CONCATENATE("R10C",academico!$O$65),"")</f>
        <v/>
      </c>
      <c r="R55" s="80" t="str">
        <f>IF(AND(academico!$Y$66="Muy Baja",academico!$AA$66="Menor"),CONCATENATE("R10C",academico!$O$66),"")</f>
        <v/>
      </c>
      <c r="S55" s="80" t="str">
        <f>IF(AND(academico!$Y$67="Muy Baja",academico!$AA$67="Menor"),CONCATENATE("R10C",academico!$O$67),"")</f>
        <v/>
      </c>
      <c r="T55" s="80" t="str">
        <f>IF(AND(academico!$Y$68="Muy Baja",academico!$AA$68="Menor"),CONCATENATE("R10C",academico!$O$68),"")</f>
        <v/>
      </c>
      <c r="U55" s="81" t="str">
        <f>IF(AND(academico!$Y$69="Muy Baja",academico!$AA$69="Menor"),CONCATENATE("R10C",academico!$O$69),"")</f>
        <v/>
      </c>
      <c r="V55" s="70" t="str">
        <f>IF(AND(academico!$Y$64="Muy Baja",academico!$AA$64="Moderado"),CONCATENATE("R10C",academico!$O$64),"")</f>
        <v/>
      </c>
      <c r="W55" s="71" t="str">
        <f>IF(AND(academico!$Y$65="Muy Baja",academico!$AA$65="Moderado"),CONCATENATE("R10C",academico!$O$65),"")</f>
        <v/>
      </c>
      <c r="X55" s="71" t="str">
        <f>IF(AND(academico!$Y$66="Muy Baja",academico!$AA$66="Moderado"),CONCATENATE("R10C",academico!$O$66),"")</f>
        <v/>
      </c>
      <c r="Y55" s="71" t="str">
        <f>IF(AND(academico!$Y$67="Muy Baja",academico!$AA$67="Moderado"),CONCATENATE("R10C",academico!$O$67),"")</f>
        <v/>
      </c>
      <c r="Z55" s="71" t="str">
        <f>IF(AND(academico!$Y$68="Muy Baja",academico!$AA$68="Moderado"),CONCATENATE("R10C",academico!$O$68),"")</f>
        <v/>
      </c>
      <c r="AA55" s="72" t="str">
        <f>IF(AND(academico!$Y$69="Muy Baja",academico!$AA$69="Moderado"),CONCATENATE("R10C",academico!$O$69),"")</f>
        <v/>
      </c>
      <c r="AB55" s="58" t="str">
        <f>IF(AND(academico!$Y$64="Muy Baja",academico!$AA$64="Mayor"),CONCATENATE("R10C",academico!$O$64),"")</f>
        <v/>
      </c>
      <c r="AC55" s="59" t="str">
        <f>IF(AND(academico!$Y$65="Muy Baja",academico!$AA$65="Mayor"),CONCATENATE("R10C",academico!$O$65),"")</f>
        <v/>
      </c>
      <c r="AD55" s="59" t="str">
        <f>IF(AND(academico!$Y$66="Muy Baja",academico!$AA$66="Mayor"),CONCATENATE("R10C",academico!$O$66),"")</f>
        <v/>
      </c>
      <c r="AE55" s="59" t="str">
        <f>IF(AND(academico!$Y$67="Muy Baja",academico!$AA$67="Mayor"),CONCATENATE("R10C",academico!$O$67),"")</f>
        <v/>
      </c>
      <c r="AF55" s="59" t="str">
        <f>IF(AND(academico!$Y$68="Muy Baja",academico!$AA$68="Mayor"),CONCATENATE("R10C",academico!$O$68),"")</f>
        <v/>
      </c>
      <c r="AG55" s="60" t="str">
        <f>IF(AND(academico!$Y$69="Muy Baja",academico!$AA$69="Mayor"),CONCATENATE("R10C",academico!$O$69),"")</f>
        <v/>
      </c>
      <c r="AH55" s="61" t="str">
        <f>IF(AND(academico!$Y$64="Muy Baja",academico!$AA$64="Catastrófico"),CONCATENATE("R10C",academico!$O$64),"")</f>
        <v/>
      </c>
      <c r="AI55" s="62" t="str">
        <f>IF(AND(academico!$Y$65="Muy Baja",academico!$AA$65="Catastrófico"),CONCATENATE("R10C",academico!$O$65),"")</f>
        <v/>
      </c>
      <c r="AJ55" s="62" t="str">
        <f>IF(AND(academico!$Y$66="Muy Baja",academico!$AA$66="Catastrófico"),CONCATENATE("R10C",academico!$O$66),"")</f>
        <v/>
      </c>
      <c r="AK55" s="62" t="str">
        <f>IF(AND(academico!$Y$67="Muy Baja",academico!$AA$67="Catastrófico"),CONCATENATE("R10C",academico!$O$67),"")</f>
        <v/>
      </c>
      <c r="AL55" s="62" t="str">
        <f>IF(AND(academico!$Y$68="Muy Baja",academico!$AA$68="Catastrófico"),CONCATENATE("R10C",academico!$O$68),"")</f>
        <v/>
      </c>
      <c r="AM55" s="63" t="str">
        <f>IF(AND(academico!$Y$69="Muy Baja",academico!$AA$69="Catastrófico"),CONCATENATE("R10C",academico!$O$69),"")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350" t="s">
        <v>112</v>
      </c>
      <c r="K56" s="351"/>
      <c r="L56" s="351"/>
      <c r="M56" s="351"/>
      <c r="N56" s="351"/>
      <c r="O56" s="368"/>
      <c r="P56" s="350" t="s">
        <v>111</v>
      </c>
      <c r="Q56" s="351"/>
      <c r="R56" s="351"/>
      <c r="S56" s="351"/>
      <c r="T56" s="351"/>
      <c r="U56" s="368"/>
      <c r="V56" s="350" t="s">
        <v>110</v>
      </c>
      <c r="W56" s="351"/>
      <c r="X56" s="351"/>
      <c r="Y56" s="351"/>
      <c r="Z56" s="351"/>
      <c r="AA56" s="368"/>
      <c r="AB56" s="350" t="s">
        <v>109</v>
      </c>
      <c r="AC56" s="389"/>
      <c r="AD56" s="351"/>
      <c r="AE56" s="351"/>
      <c r="AF56" s="351"/>
      <c r="AG56" s="368"/>
      <c r="AH56" s="350" t="s">
        <v>108</v>
      </c>
      <c r="AI56" s="351"/>
      <c r="AJ56" s="351"/>
      <c r="AK56" s="351"/>
      <c r="AL56" s="351"/>
      <c r="AM56" s="368"/>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354"/>
      <c r="K57" s="353"/>
      <c r="L57" s="353"/>
      <c r="M57" s="353"/>
      <c r="N57" s="353"/>
      <c r="O57" s="369"/>
      <c r="P57" s="354"/>
      <c r="Q57" s="353"/>
      <c r="R57" s="353"/>
      <c r="S57" s="353"/>
      <c r="T57" s="353"/>
      <c r="U57" s="369"/>
      <c r="V57" s="354"/>
      <c r="W57" s="353"/>
      <c r="X57" s="353"/>
      <c r="Y57" s="353"/>
      <c r="Z57" s="353"/>
      <c r="AA57" s="369"/>
      <c r="AB57" s="354"/>
      <c r="AC57" s="353"/>
      <c r="AD57" s="353"/>
      <c r="AE57" s="353"/>
      <c r="AF57" s="353"/>
      <c r="AG57" s="369"/>
      <c r="AH57" s="354"/>
      <c r="AI57" s="353"/>
      <c r="AJ57" s="353"/>
      <c r="AK57" s="353"/>
      <c r="AL57" s="353"/>
      <c r="AM57" s="369"/>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354"/>
      <c r="K58" s="353"/>
      <c r="L58" s="353"/>
      <c r="M58" s="353"/>
      <c r="N58" s="353"/>
      <c r="O58" s="369"/>
      <c r="P58" s="354"/>
      <c r="Q58" s="353"/>
      <c r="R58" s="353"/>
      <c r="S58" s="353"/>
      <c r="T58" s="353"/>
      <c r="U58" s="369"/>
      <c r="V58" s="354"/>
      <c r="W58" s="353"/>
      <c r="X58" s="353"/>
      <c r="Y58" s="353"/>
      <c r="Z58" s="353"/>
      <c r="AA58" s="369"/>
      <c r="AB58" s="354"/>
      <c r="AC58" s="353"/>
      <c r="AD58" s="353"/>
      <c r="AE58" s="353"/>
      <c r="AF58" s="353"/>
      <c r="AG58" s="369"/>
      <c r="AH58" s="354"/>
      <c r="AI58" s="353"/>
      <c r="AJ58" s="353"/>
      <c r="AK58" s="353"/>
      <c r="AL58" s="353"/>
      <c r="AM58" s="369"/>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354"/>
      <c r="K59" s="353"/>
      <c r="L59" s="353"/>
      <c r="M59" s="353"/>
      <c r="N59" s="353"/>
      <c r="O59" s="369"/>
      <c r="P59" s="354"/>
      <c r="Q59" s="353"/>
      <c r="R59" s="353"/>
      <c r="S59" s="353"/>
      <c r="T59" s="353"/>
      <c r="U59" s="369"/>
      <c r="V59" s="354"/>
      <c r="W59" s="353"/>
      <c r="X59" s="353"/>
      <c r="Y59" s="353"/>
      <c r="Z59" s="353"/>
      <c r="AA59" s="369"/>
      <c r="AB59" s="354"/>
      <c r="AC59" s="353"/>
      <c r="AD59" s="353"/>
      <c r="AE59" s="353"/>
      <c r="AF59" s="353"/>
      <c r="AG59" s="369"/>
      <c r="AH59" s="354"/>
      <c r="AI59" s="353"/>
      <c r="AJ59" s="353"/>
      <c r="AK59" s="353"/>
      <c r="AL59" s="353"/>
      <c r="AM59" s="369"/>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354"/>
      <c r="K60" s="353"/>
      <c r="L60" s="353"/>
      <c r="M60" s="353"/>
      <c r="N60" s="353"/>
      <c r="O60" s="369"/>
      <c r="P60" s="354"/>
      <c r="Q60" s="353"/>
      <c r="R60" s="353"/>
      <c r="S60" s="353"/>
      <c r="T60" s="353"/>
      <c r="U60" s="369"/>
      <c r="V60" s="354"/>
      <c r="W60" s="353"/>
      <c r="X60" s="353"/>
      <c r="Y60" s="353"/>
      <c r="Z60" s="353"/>
      <c r="AA60" s="369"/>
      <c r="AB60" s="354"/>
      <c r="AC60" s="353"/>
      <c r="AD60" s="353"/>
      <c r="AE60" s="353"/>
      <c r="AF60" s="353"/>
      <c r="AG60" s="369"/>
      <c r="AH60" s="354"/>
      <c r="AI60" s="353"/>
      <c r="AJ60" s="353"/>
      <c r="AK60" s="353"/>
      <c r="AL60" s="353"/>
      <c r="AM60" s="369"/>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75" thickBot="1" x14ac:dyDescent="0.3">
      <c r="A61" s="83"/>
      <c r="B61" s="83"/>
      <c r="C61" s="83"/>
      <c r="D61" s="83"/>
      <c r="E61" s="83"/>
      <c r="F61" s="83"/>
      <c r="G61" s="83"/>
      <c r="H61" s="83"/>
      <c r="I61" s="83"/>
      <c r="J61" s="355"/>
      <c r="K61" s="356"/>
      <c r="L61" s="356"/>
      <c r="M61" s="356"/>
      <c r="N61" s="356"/>
      <c r="O61" s="370"/>
      <c r="P61" s="355"/>
      <c r="Q61" s="356"/>
      <c r="R61" s="356"/>
      <c r="S61" s="356"/>
      <c r="T61" s="356"/>
      <c r="U61" s="370"/>
      <c r="V61" s="355"/>
      <c r="W61" s="356"/>
      <c r="X61" s="356"/>
      <c r="Y61" s="356"/>
      <c r="Z61" s="356"/>
      <c r="AA61" s="370"/>
      <c r="AB61" s="355"/>
      <c r="AC61" s="356"/>
      <c r="AD61" s="356"/>
      <c r="AE61" s="356"/>
      <c r="AF61" s="356"/>
      <c r="AG61" s="370"/>
      <c r="AH61" s="355"/>
      <c r="AI61" s="356"/>
      <c r="AJ61" s="356"/>
      <c r="AK61" s="356"/>
      <c r="AL61" s="356"/>
      <c r="AM61" s="370"/>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25">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25">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25">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25">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25">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25">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25">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25">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25">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25">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25">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25">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25">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25">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25">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25">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25">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25">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25">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25">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25">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25">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25">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25">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25">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25">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25">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25">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25">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25">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25">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25">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25">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25">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25">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25">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25">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25">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25">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25">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25">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25">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25">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25">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25">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25">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25">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25">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25">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25">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25">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25">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25">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25">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25">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25">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25">
      <c r="A245" s="83"/>
    </row>
    <row r="246" spans="1:60" x14ac:dyDescent="0.25">
      <c r="A246" s="83"/>
    </row>
    <row r="247" spans="1:60" x14ac:dyDescent="0.25">
      <c r="A247" s="83"/>
    </row>
    <row r="248" spans="1:60" x14ac:dyDescent="0.25">
      <c r="A248" s="83"/>
    </row>
  </sheetData>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AK55"/>
  <sheetViews>
    <sheetView zoomScale="90" zoomScaleNormal="90" workbookViewId="0">
      <selection activeCell="C5" sqref="C5"/>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3"/>
      <c r="B1" s="390" t="s">
        <v>55</v>
      </c>
      <c r="C1" s="390"/>
      <c r="D1" s="390"/>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5" x14ac:dyDescent="0.25">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1" x14ac:dyDescent="0.25">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1" x14ac:dyDescent="0.25">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1" x14ac:dyDescent="0.25">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6.5" x14ac:dyDescent="0.25">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1" x14ac:dyDescent="0.25">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25">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6.5" x14ac:dyDescent="0.25">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25">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25">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25">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25">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25">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25">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25">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25">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25">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25">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25">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25">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2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25">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25">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25">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25">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25">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25">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25">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25">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25">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25">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25">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25">
      <c r="A35" s="83"/>
    </row>
    <row r="36" spans="1:31" x14ac:dyDescent="0.25">
      <c r="A36" s="83"/>
    </row>
    <row r="37" spans="1:31" x14ac:dyDescent="0.25">
      <c r="A37" s="83"/>
    </row>
    <row r="38" spans="1:31" x14ac:dyDescent="0.25">
      <c r="A38" s="83"/>
    </row>
    <row r="39" spans="1:31" x14ac:dyDescent="0.25">
      <c r="A39" s="83"/>
    </row>
    <row r="40" spans="1:31" x14ac:dyDescent="0.25">
      <c r="A40" s="83"/>
    </row>
    <row r="41" spans="1:31" x14ac:dyDescent="0.25">
      <c r="A41" s="83"/>
    </row>
    <row r="42" spans="1:31" x14ac:dyDescent="0.25">
      <c r="A42" s="83"/>
    </row>
    <row r="43" spans="1:31" x14ac:dyDescent="0.25">
      <c r="A43" s="83"/>
    </row>
    <row r="44" spans="1:31" x14ac:dyDescent="0.25">
      <c r="A44" s="83"/>
    </row>
    <row r="45" spans="1:31" x14ac:dyDescent="0.25">
      <c r="A45" s="83"/>
    </row>
    <row r="46" spans="1:31" x14ac:dyDescent="0.25">
      <c r="A46" s="83"/>
    </row>
    <row r="47" spans="1:31" x14ac:dyDescent="0.25">
      <c r="A47" s="83"/>
    </row>
    <row r="48" spans="1:31" x14ac:dyDescent="0.25">
      <c r="A48" s="83"/>
    </row>
    <row r="49" spans="1:1" x14ac:dyDescent="0.25">
      <c r="A49" s="83"/>
    </row>
    <row r="50" spans="1:1" x14ac:dyDescent="0.25">
      <c r="A50" s="83"/>
    </row>
    <row r="51" spans="1:1" x14ac:dyDescent="0.25">
      <c r="A51" s="83"/>
    </row>
    <row r="52" spans="1:1" x14ac:dyDescent="0.25">
      <c r="A52" s="83"/>
    </row>
    <row r="53" spans="1:1" x14ac:dyDescent="0.25">
      <c r="A53" s="83"/>
    </row>
    <row r="54" spans="1:1" x14ac:dyDescent="0.25">
      <c r="A54" s="83"/>
    </row>
    <row r="55" spans="1:1" x14ac:dyDescent="0.25">
      <c r="A55" s="83"/>
    </row>
  </sheetData>
  <mergeCells count="1">
    <mergeCell ref="B1:D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249977111117893"/>
  </sheetPr>
  <dimension ref="A1:U232"/>
  <sheetViews>
    <sheetView zoomScale="60" zoomScaleNormal="60" workbookViewId="0">
      <selection activeCell="E8" sqref="E8"/>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3"/>
      <c r="B1" s="391" t="s">
        <v>63</v>
      </c>
      <c r="C1" s="391"/>
      <c r="D1" s="391"/>
      <c r="E1" s="83"/>
      <c r="F1" s="83"/>
      <c r="G1" s="83"/>
      <c r="H1" s="83"/>
      <c r="I1" s="83"/>
      <c r="J1" s="83"/>
      <c r="K1" s="83"/>
      <c r="L1" s="83"/>
      <c r="M1" s="83"/>
      <c r="N1" s="83"/>
      <c r="O1" s="83"/>
      <c r="P1" s="83"/>
      <c r="Q1" s="83"/>
      <c r="R1" s="83"/>
      <c r="S1" s="83"/>
      <c r="T1" s="83"/>
      <c r="U1" s="83"/>
    </row>
    <row r="2" spans="1:21" x14ac:dyDescent="0.25">
      <c r="A2" s="83"/>
      <c r="B2" s="83"/>
      <c r="C2" s="83"/>
      <c r="D2" s="83"/>
      <c r="E2" s="83"/>
      <c r="F2" s="83"/>
      <c r="G2" s="83"/>
      <c r="H2" s="83"/>
      <c r="I2" s="83"/>
      <c r="J2" s="83"/>
      <c r="K2" s="83"/>
      <c r="L2" s="83"/>
      <c r="M2" s="83"/>
      <c r="N2" s="83"/>
      <c r="O2" s="83"/>
      <c r="P2" s="83"/>
      <c r="Q2" s="83"/>
      <c r="R2" s="83"/>
      <c r="S2" s="83"/>
      <c r="T2" s="83"/>
      <c r="U2" s="83"/>
    </row>
    <row r="3" spans="1:21" ht="30" x14ac:dyDescent="0.25">
      <c r="A3" s="83"/>
      <c r="B3" s="104"/>
      <c r="C3" s="36" t="s">
        <v>56</v>
      </c>
      <c r="D3" s="36" t="s">
        <v>57</v>
      </c>
      <c r="E3" s="83"/>
      <c r="F3" s="83"/>
      <c r="G3" s="83"/>
      <c r="H3" s="83"/>
      <c r="I3" s="83"/>
      <c r="J3" s="83"/>
      <c r="K3" s="83"/>
      <c r="L3" s="83"/>
      <c r="M3" s="83"/>
      <c r="N3" s="83"/>
      <c r="O3" s="83"/>
      <c r="P3" s="83"/>
      <c r="Q3" s="83"/>
      <c r="R3" s="83"/>
      <c r="S3" s="83"/>
      <c r="T3" s="83"/>
      <c r="U3" s="83"/>
    </row>
    <row r="4" spans="1:21" ht="33.75" x14ac:dyDescent="0.25">
      <c r="A4" s="103" t="s">
        <v>83</v>
      </c>
      <c r="B4" s="39" t="s">
        <v>101</v>
      </c>
      <c r="C4" s="44" t="s">
        <v>158</v>
      </c>
      <c r="D4" s="37" t="s">
        <v>97</v>
      </c>
      <c r="E4" s="83" t="s">
        <v>221</v>
      </c>
      <c r="F4" s="83"/>
      <c r="G4" s="83"/>
      <c r="H4" s="83"/>
      <c r="I4" s="83"/>
      <c r="J4" s="83"/>
      <c r="K4" s="83"/>
      <c r="L4" s="83"/>
      <c r="M4" s="83"/>
      <c r="N4" s="83"/>
      <c r="O4" s="83"/>
      <c r="P4" s="83"/>
      <c r="Q4" s="83"/>
      <c r="R4" s="83"/>
      <c r="S4" s="83"/>
      <c r="T4" s="83"/>
      <c r="U4" s="83"/>
    </row>
    <row r="5" spans="1:21" ht="67.5" x14ac:dyDescent="0.25">
      <c r="A5" s="103" t="s">
        <v>84</v>
      </c>
      <c r="B5" s="40" t="s">
        <v>59</v>
      </c>
      <c r="C5" s="45" t="s">
        <v>93</v>
      </c>
      <c r="D5" s="38" t="s">
        <v>98</v>
      </c>
      <c r="E5" s="83" t="s">
        <v>222</v>
      </c>
      <c r="F5" s="83"/>
      <c r="G5" s="83"/>
      <c r="H5" s="83"/>
      <c r="I5" s="83"/>
      <c r="J5" s="83"/>
      <c r="K5" s="83"/>
      <c r="L5" s="83"/>
      <c r="M5" s="83"/>
      <c r="N5" s="83"/>
      <c r="O5" s="83"/>
      <c r="P5" s="83"/>
      <c r="Q5" s="83"/>
      <c r="R5" s="83"/>
      <c r="S5" s="83"/>
      <c r="T5" s="83"/>
      <c r="U5" s="83"/>
    </row>
    <row r="6" spans="1:21" ht="67.5" x14ac:dyDescent="0.25">
      <c r="A6" s="103" t="s">
        <v>81</v>
      </c>
      <c r="B6" s="41" t="s">
        <v>60</v>
      </c>
      <c r="C6" s="45" t="s">
        <v>94</v>
      </c>
      <c r="D6" s="38" t="s">
        <v>100</v>
      </c>
      <c r="E6" s="83" t="s">
        <v>223</v>
      </c>
      <c r="F6" s="83"/>
      <c r="G6" s="83"/>
      <c r="H6" s="83"/>
      <c r="I6" s="83"/>
      <c r="J6" s="83"/>
      <c r="K6" s="83"/>
      <c r="L6" s="83"/>
      <c r="M6" s="83"/>
      <c r="N6" s="83"/>
      <c r="O6" s="83"/>
      <c r="P6" s="83"/>
      <c r="Q6" s="83"/>
      <c r="R6" s="83"/>
      <c r="S6" s="83"/>
      <c r="T6" s="83"/>
      <c r="U6" s="83"/>
    </row>
    <row r="7" spans="1:21" ht="101.25" x14ac:dyDescent="0.25">
      <c r="A7" s="103" t="s">
        <v>7</v>
      </c>
      <c r="B7" s="42" t="s">
        <v>61</v>
      </c>
      <c r="C7" s="45" t="s">
        <v>95</v>
      </c>
      <c r="D7" s="38" t="s">
        <v>99</v>
      </c>
      <c r="E7" s="83" t="s">
        <v>224</v>
      </c>
      <c r="F7" s="83"/>
      <c r="G7" s="83"/>
      <c r="H7" s="83"/>
      <c r="I7" s="83"/>
      <c r="J7" s="83"/>
      <c r="K7" s="83"/>
      <c r="L7" s="83"/>
      <c r="M7" s="83"/>
      <c r="N7" s="83"/>
      <c r="O7" s="83"/>
      <c r="P7" s="83"/>
      <c r="Q7" s="83"/>
      <c r="R7" s="83"/>
      <c r="S7" s="83"/>
      <c r="T7" s="83"/>
      <c r="U7" s="83"/>
    </row>
    <row r="8" spans="1:21" ht="67.5" x14ac:dyDescent="0.25">
      <c r="A8" s="103" t="s">
        <v>85</v>
      </c>
      <c r="B8" s="43" t="s">
        <v>62</v>
      </c>
      <c r="C8" s="45" t="s">
        <v>96</v>
      </c>
      <c r="D8" s="38" t="s">
        <v>118</v>
      </c>
      <c r="E8" s="83" t="s">
        <v>225</v>
      </c>
      <c r="F8" s="83"/>
      <c r="G8" s="83"/>
      <c r="H8" s="83"/>
      <c r="I8" s="83"/>
      <c r="J8" s="83"/>
      <c r="K8" s="83"/>
      <c r="L8" s="83"/>
      <c r="M8" s="83"/>
      <c r="N8" s="83"/>
      <c r="O8" s="83"/>
      <c r="P8" s="83"/>
      <c r="Q8" s="83"/>
      <c r="R8" s="83"/>
      <c r="S8" s="83"/>
      <c r="T8" s="83"/>
      <c r="U8" s="83"/>
    </row>
    <row r="9" spans="1:21" ht="20.25" x14ac:dyDescent="0.25">
      <c r="A9" s="103"/>
      <c r="B9" s="103"/>
      <c r="C9" s="105"/>
      <c r="D9" s="105"/>
      <c r="E9" s="83"/>
      <c r="F9" s="83"/>
      <c r="G9" s="83"/>
      <c r="H9" s="83"/>
      <c r="I9" s="83"/>
      <c r="J9" s="83"/>
      <c r="K9" s="83"/>
      <c r="L9" s="83"/>
      <c r="M9" s="83"/>
      <c r="N9" s="83"/>
      <c r="O9" s="83"/>
      <c r="P9" s="83"/>
      <c r="Q9" s="83"/>
      <c r="R9" s="83"/>
      <c r="S9" s="83"/>
      <c r="T9" s="83"/>
      <c r="U9" s="83"/>
    </row>
    <row r="10" spans="1:21" ht="16.5" x14ac:dyDescent="0.25">
      <c r="A10" s="103"/>
      <c r="B10" s="106"/>
      <c r="C10" s="106"/>
      <c r="D10" s="106"/>
      <c r="E10" s="83"/>
      <c r="F10" s="83"/>
      <c r="G10" s="83"/>
      <c r="H10" s="83"/>
      <c r="I10" s="83"/>
      <c r="J10" s="83"/>
      <c r="K10" s="83"/>
      <c r="L10" s="83"/>
      <c r="M10" s="83"/>
      <c r="N10" s="83"/>
      <c r="O10" s="83"/>
      <c r="P10" s="83"/>
      <c r="Q10" s="83"/>
      <c r="R10" s="83"/>
      <c r="S10" s="83"/>
      <c r="T10" s="83"/>
      <c r="U10" s="83"/>
    </row>
    <row r="11" spans="1:21" x14ac:dyDescent="0.25">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25">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25">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25">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25">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25">
      <c r="A16" s="103"/>
      <c r="B16" s="103"/>
      <c r="C16" s="103"/>
      <c r="D16" s="103"/>
      <c r="E16" s="83"/>
      <c r="F16" s="83"/>
      <c r="G16" s="83"/>
      <c r="H16" s="83"/>
      <c r="I16" s="83"/>
      <c r="J16" s="83"/>
      <c r="K16" s="83"/>
      <c r="L16" s="83"/>
      <c r="M16" s="83"/>
      <c r="N16" s="83"/>
      <c r="O16" s="83"/>
    </row>
    <row r="17" spans="1:15" x14ac:dyDescent="0.25">
      <c r="A17" s="103"/>
      <c r="B17" s="103"/>
      <c r="C17" s="103"/>
      <c r="D17" s="103"/>
      <c r="E17" s="83"/>
      <c r="F17" s="83"/>
      <c r="G17" s="83"/>
      <c r="H17" s="83"/>
      <c r="I17" s="83"/>
      <c r="J17" s="83"/>
      <c r="K17" s="83"/>
      <c r="L17" s="83"/>
      <c r="M17" s="83"/>
      <c r="N17" s="83"/>
      <c r="O17" s="83"/>
    </row>
    <row r="18" spans="1:15" x14ac:dyDescent="0.25">
      <c r="A18" s="103"/>
      <c r="B18" s="107"/>
      <c r="C18" s="107"/>
      <c r="D18" s="107"/>
      <c r="E18" s="83"/>
      <c r="F18" s="83"/>
      <c r="G18" s="83"/>
      <c r="H18" s="83"/>
      <c r="I18" s="83"/>
      <c r="J18" s="83"/>
      <c r="K18" s="83"/>
      <c r="L18" s="83"/>
      <c r="M18" s="83"/>
      <c r="N18" s="83"/>
      <c r="O18" s="83"/>
    </row>
    <row r="19" spans="1:15" x14ac:dyDescent="0.25">
      <c r="A19" s="103"/>
      <c r="B19" s="107"/>
      <c r="C19" s="107"/>
      <c r="D19" s="107"/>
      <c r="E19" s="83"/>
      <c r="F19" s="83"/>
      <c r="G19" s="83"/>
      <c r="H19" s="83"/>
      <c r="I19" s="83"/>
      <c r="J19" s="83"/>
      <c r="K19" s="83"/>
      <c r="L19" s="83"/>
      <c r="M19" s="83"/>
      <c r="N19" s="83"/>
      <c r="O19" s="83"/>
    </row>
    <row r="20" spans="1:15" x14ac:dyDescent="0.25">
      <c r="A20" s="103"/>
      <c r="B20" s="107"/>
      <c r="C20" s="107"/>
      <c r="D20" s="107"/>
      <c r="E20" s="83"/>
      <c r="F20" s="83"/>
      <c r="G20" s="83"/>
      <c r="H20" s="83"/>
      <c r="I20" s="83"/>
      <c r="J20" s="83"/>
      <c r="K20" s="83"/>
      <c r="L20" s="83"/>
      <c r="M20" s="83"/>
      <c r="N20" s="83"/>
      <c r="O20" s="83"/>
    </row>
    <row r="21" spans="1:15" x14ac:dyDescent="0.25">
      <c r="A21" s="103"/>
      <c r="B21" s="107"/>
      <c r="C21" s="107"/>
      <c r="D21" s="107"/>
      <c r="E21" s="83"/>
      <c r="F21" s="83"/>
      <c r="G21" s="83"/>
      <c r="H21" s="83"/>
      <c r="I21" s="83"/>
      <c r="J21" s="83"/>
      <c r="K21" s="83"/>
      <c r="L21" s="83"/>
      <c r="M21" s="83"/>
      <c r="N21" s="83"/>
      <c r="O21" s="83"/>
    </row>
    <row r="22" spans="1:15" ht="20.25" x14ac:dyDescent="0.25">
      <c r="A22" s="103"/>
      <c r="B22" s="103"/>
      <c r="C22" s="105"/>
      <c r="D22" s="105"/>
      <c r="E22" s="83"/>
      <c r="F22" s="83"/>
      <c r="G22" s="83"/>
      <c r="H22" s="83"/>
      <c r="I22" s="83"/>
      <c r="J22" s="83"/>
      <c r="K22" s="83"/>
      <c r="L22" s="83"/>
      <c r="M22" s="83"/>
      <c r="N22" s="83"/>
      <c r="O22" s="83"/>
    </row>
    <row r="23" spans="1:15" ht="20.25" x14ac:dyDescent="0.25">
      <c r="A23" s="103"/>
      <c r="B23" s="103"/>
      <c r="C23" s="105"/>
      <c r="D23" s="105"/>
      <c r="E23" s="83"/>
      <c r="F23" s="83"/>
      <c r="G23" s="83"/>
      <c r="H23" s="83"/>
      <c r="I23" s="83"/>
      <c r="J23" s="83"/>
      <c r="K23" s="83"/>
      <c r="L23" s="83"/>
      <c r="M23" s="83"/>
      <c r="N23" s="83"/>
      <c r="O23" s="83"/>
    </row>
    <row r="24" spans="1:15" ht="20.25" x14ac:dyDescent="0.25">
      <c r="A24" s="103"/>
      <c r="B24" s="103"/>
      <c r="C24" s="105"/>
      <c r="D24" s="105"/>
      <c r="E24" s="83"/>
      <c r="F24" s="83"/>
      <c r="G24" s="83"/>
      <c r="H24" s="83"/>
      <c r="I24" s="83"/>
      <c r="J24" s="83"/>
      <c r="K24" s="83"/>
      <c r="L24" s="83"/>
      <c r="M24" s="83"/>
      <c r="N24" s="83"/>
      <c r="O24" s="83"/>
    </row>
    <row r="25" spans="1:15" ht="20.25" x14ac:dyDescent="0.25">
      <c r="A25" s="103"/>
      <c r="B25" s="103"/>
      <c r="C25" s="105"/>
      <c r="D25" s="105"/>
      <c r="E25" s="83"/>
      <c r="F25" s="83"/>
      <c r="G25" s="83"/>
      <c r="H25" s="83"/>
      <c r="I25" s="83"/>
      <c r="J25" s="83"/>
      <c r="K25" s="83"/>
      <c r="L25" s="83"/>
      <c r="M25" s="83"/>
      <c r="N25" s="83"/>
      <c r="O25" s="83"/>
    </row>
    <row r="26" spans="1:15" ht="20.25" x14ac:dyDescent="0.25">
      <c r="A26" s="103"/>
      <c r="B26" s="103"/>
      <c r="C26" s="105"/>
      <c r="D26" s="105"/>
      <c r="E26" s="83"/>
      <c r="F26" s="83"/>
      <c r="G26" s="83"/>
      <c r="H26" s="83"/>
      <c r="I26" s="83"/>
      <c r="J26" s="83"/>
      <c r="K26" s="83"/>
      <c r="L26" s="83"/>
      <c r="M26" s="83"/>
      <c r="N26" s="83"/>
      <c r="O26" s="83"/>
    </row>
    <row r="27" spans="1:15" ht="20.25" x14ac:dyDescent="0.25">
      <c r="A27" s="103"/>
      <c r="B27" s="103"/>
      <c r="C27" s="105"/>
      <c r="D27" s="105"/>
      <c r="E27" s="83"/>
      <c r="F27" s="83"/>
      <c r="G27" s="83"/>
      <c r="H27" s="83"/>
      <c r="I27" s="83"/>
      <c r="J27" s="83"/>
      <c r="K27" s="83"/>
      <c r="L27" s="83"/>
      <c r="M27" s="83"/>
      <c r="N27" s="83"/>
      <c r="O27" s="83"/>
    </row>
    <row r="28" spans="1:15" ht="20.25" x14ac:dyDescent="0.25">
      <c r="A28" s="103"/>
      <c r="B28" s="103"/>
      <c r="C28" s="105"/>
      <c r="D28" s="105"/>
      <c r="E28" s="83"/>
      <c r="F28" s="83"/>
      <c r="G28" s="83"/>
      <c r="H28" s="83"/>
      <c r="I28" s="83"/>
      <c r="J28" s="83"/>
      <c r="K28" s="83"/>
      <c r="L28" s="83"/>
      <c r="M28" s="83"/>
      <c r="N28" s="83"/>
      <c r="O28" s="83"/>
    </row>
    <row r="29" spans="1:15" ht="20.25" x14ac:dyDescent="0.25">
      <c r="A29" s="103"/>
      <c r="B29" s="103"/>
      <c r="C29" s="105"/>
      <c r="D29" s="105"/>
      <c r="E29" s="83"/>
      <c r="F29" s="83"/>
      <c r="G29" s="83"/>
      <c r="H29" s="83"/>
      <c r="I29" s="83"/>
      <c r="J29" s="83"/>
      <c r="K29" s="83"/>
      <c r="L29" s="83"/>
      <c r="M29" s="83"/>
      <c r="N29" s="83"/>
      <c r="O29" s="83"/>
    </row>
    <row r="30" spans="1:15" ht="20.25" x14ac:dyDescent="0.25">
      <c r="A30" s="103"/>
      <c r="B30" s="103"/>
      <c r="C30" s="105"/>
      <c r="D30" s="105"/>
      <c r="E30" s="83"/>
      <c r="F30" s="83"/>
      <c r="G30" s="83"/>
      <c r="H30" s="83"/>
      <c r="I30" s="83"/>
      <c r="J30" s="83"/>
      <c r="K30" s="83"/>
      <c r="L30" s="83"/>
      <c r="M30" s="83"/>
      <c r="N30" s="83"/>
      <c r="O30" s="83"/>
    </row>
    <row r="31" spans="1:15" ht="20.25" x14ac:dyDescent="0.25">
      <c r="A31" s="103"/>
      <c r="B31" s="103"/>
      <c r="C31" s="105"/>
      <c r="D31" s="105"/>
      <c r="E31" s="83"/>
      <c r="F31" s="83"/>
      <c r="G31" s="83"/>
      <c r="H31" s="83"/>
      <c r="I31" s="83"/>
      <c r="J31" s="83"/>
      <c r="K31" s="83"/>
      <c r="L31" s="83"/>
      <c r="M31" s="83"/>
      <c r="N31" s="83"/>
      <c r="O31" s="83"/>
    </row>
    <row r="32" spans="1:15" ht="20.25" x14ac:dyDescent="0.25">
      <c r="A32" s="103"/>
      <c r="B32" s="103"/>
      <c r="C32" s="105"/>
      <c r="D32" s="105"/>
      <c r="E32" s="83"/>
      <c r="F32" s="83"/>
      <c r="G32" s="83"/>
      <c r="H32" s="83"/>
      <c r="I32" s="83"/>
      <c r="J32" s="83"/>
      <c r="K32" s="83"/>
      <c r="L32" s="83"/>
      <c r="M32" s="83"/>
      <c r="N32" s="83"/>
      <c r="O32" s="83"/>
    </row>
    <row r="33" spans="1:15" ht="20.25" x14ac:dyDescent="0.25">
      <c r="A33" s="103"/>
      <c r="B33" s="103"/>
      <c r="C33" s="105"/>
      <c r="D33" s="105"/>
      <c r="E33" s="83"/>
      <c r="F33" s="83"/>
      <c r="G33" s="83"/>
      <c r="H33" s="83"/>
      <c r="I33" s="83"/>
      <c r="J33" s="83"/>
      <c r="K33" s="83"/>
      <c r="L33" s="83"/>
      <c r="M33" s="83"/>
      <c r="N33" s="83"/>
      <c r="O33" s="83"/>
    </row>
    <row r="34" spans="1:15" ht="20.25" x14ac:dyDescent="0.25">
      <c r="A34" s="103"/>
      <c r="B34" s="103"/>
      <c r="C34" s="105"/>
      <c r="D34" s="105"/>
      <c r="E34" s="83"/>
      <c r="F34" s="83"/>
      <c r="G34" s="83"/>
      <c r="H34" s="83"/>
      <c r="I34" s="83"/>
      <c r="J34" s="83"/>
      <c r="K34" s="83"/>
      <c r="L34" s="83"/>
      <c r="M34" s="83"/>
      <c r="N34" s="83"/>
      <c r="O34" s="83"/>
    </row>
    <row r="35" spans="1:15" ht="20.25" x14ac:dyDescent="0.25">
      <c r="A35" s="103"/>
      <c r="B35" s="103"/>
      <c r="C35" s="105"/>
      <c r="D35" s="105"/>
      <c r="E35" s="83"/>
      <c r="F35" s="83"/>
      <c r="G35" s="83"/>
      <c r="H35" s="83"/>
      <c r="I35" s="83"/>
      <c r="J35" s="83"/>
      <c r="K35" s="83"/>
      <c r="L35" s="83"/>
      <c r="M35" s="83"/>
      <c r="N35" s="83"/>
      <c r="O35" s="83"/>
    </row>
    <row r="36" spans="1:15" ht="20.25" x14ac:dyDescent="0.25">
      <c r="A36" s="103"/>
      <c r="B36" s="103"/>
      <c r="C36" s="105"/>
      <c r="D36" s="105"/>
      <c r="E36" s="83"/>
      <c r="F36" s="83"/>
      <c r="G36" s="83"/>
      <c r="H36" s="83"/>
      <c r="I36" s="83"/>
      <c r="J36" s="83"/>
      <c r="K36" s="83"/>
      <c r="L36" s="83"/>
      <c r="M36" s="83"/>
      <c r="N36" s="83"/>
      <c r="O36" s="83"/>
    </row>
    <row r="37" spans="1:15" ht="20.25" x14ac:dyDescent="0.25">
      <c r="A37" s="103"/>
      <c r="B37" s="103"/>
      <c r="C37" s="105"/>
      <c r="D37" s="105"/>
      <c r="E37" s="83"/>
      <c r="F37" s="83"/>
      <c r="G37" s="83"/>
      <c r="H37" s="83"/>
      <c r="I37" s="83"/>
      <c r="J37" s="83"/>
      <c r="K37" s="83"/>
      <c r="L37" s="83"/>
      <c r="M37" s="83"/>
      <c r="N37" s="83"/>
      <c r="O37" s="83"/>
    </row>
    <row r="38" spans="1:15" ht="20.25" x14ac:dyDescent="0.25">
      <c r="A38" s="103"/>
      <c r="B38" s="103"/>
      <c r="C38" s="105"/>
      <c r="D38" s="105"/>
      <c r="E38" s="83"/>
      <c r="F38" s="83"/>
      <c r="G38" s="83"/>
      <c r="H38" s="83"/>
      <c r="I38" s="83"/>
      <c r="J38" s="83"/>
      <c r="K38" s="83"/>
      <c r="L38" s="83"/>
      <c r="M38" s="83"/>
      <c r="N38" s="83"/>
      <c r="O38" s="83"/>
    </row>
    <row r="39" spans="1:15" ht="20.25" x14ac:dyDescent="0.25">
      <c r="A39" s="103"/>
      <c r="B39" s="103"/>
      <c r="C39" s="105"/>
      <c r="D39" s="105"/>
      <c r="E39" s="83"/>
      <c r="F39" s="83"/>
      <c r="G39" s="83"/>
      <c r="H39" s="83"/>
      <c r="I39" s="83"/>
      <c r="J39" s="83"/>
      <c r="K39" s="83"/>
      <c r="L39" s="83"/>
      <c r="M39" s="83"/>
      <c r="N39" s="83"/>
      <c r="O39" s="83"/>
    </row>
    <row r="40" spans="1:15" ht="20.25" x14ac:dyDescent="0.25">
      <c r="A40" s="103"/>
      <c r="B40" s="103"/>
      <c r="C40" s="105"/>
      <c r="D40" s="105"/>
      <c r="E40" s="83"/>
      <c r="F40" s="83"/>
      <c r="G40" s="83"/>
      <c r="H40" s="83"/>
      <c r="I40" s="83"/>
      <c r="J40" s="83"/>
      <c r="K40" s="83"/>
      <c r="L40" s="83"/>
      <c r="M40" s="83"/>
      <c r="N40" s="83"/>
      <c r="O40" s="83"/>
    </row>
    <row r="41" spans="1:15" ht="20.25" x14ac:dyDescent="0.25">
      <c r="A41" s="103"/>
      <c r="B41" s="103"/>
      <c r="C41" s="105"/>
      <c r="D41" s="105"/>
      <c r="E41" s="83"/>
      <c r="F41" s="83"/>
      <c r="G41" s="83"/>
      <c r="H41" s="83"/>
      <c r="I41" s="83"/>
      <c r="J41" s="83"/>
      <c r="K41" s="83"/>
      <c r="L41" s="83"/>
      <c r="M41" s="83"/>
      <c r="N41" s="83"/>
      <c r="O41" s="83"/>
    </row>
    <row r="42" spans="1:15" ht="20.25" x14ac:dyDescent="0.25">
      <c r="A42" s="103"/>
      <c r="B42" s="103"/>
      <c r="C42" s="105"/>
      <c r="D42" s="105"/>
      <c r="E42" s="83"/>
      <c r="F42" s="83"/>
      <c r="G42" s="83"/>
      <c r="H42" s="83"/>
      <c r="I42" s="83"/>
      <c r="J42" s="83"/>
      <c r="K42" s="83"/>
      <c r="L42" s="83"/>
      <c r="M42" s="83"/>
      <c r="N42" s="83"/>
      <c r="O42" s="83"/>
    </row>
    <row r="43" spans="1:15" ht="20.25" x14ac:dyDescent="0.25">
      <c r="A43" s="103"/>
      <c r="B43" s="103"/>
      <c r="C43" s="105"/>
      <c r="D43" s="105"/>
      <c r="E43" s="83"/>
      <c r="F43" s="83"/>
      <c r="G43" s="83"/>
      <c r="H43" s="83"/>
      <c r="I43" s="83"/>
      <c r="J43" s="83"/>
      <c r="K43" s="83"/>
      <c r="L43" s="83"/>
      <c r="M43" s="83"/>
      <c r="N43" s="83"/>
      <c r="O43" s="83"/>
    </row>
    <row r="44" spans="1:15" ht="20.25" x14ac:dyDescent="0.25">
      <c r="A44" s="103"/>
      <c r="B44" s="103"/>
      <c r="C44" s="105"/>
      <c r="D44" s="105"/>
      <c r="E44" s="83"/>
      <c r="F44" s="83"/>
      <c r="G44" s="83"/>
      <c r="H44" s="83"/>
      <c r="I44" s="83"/>
      <c r="J44" s="83"/>
      <c r="K44" s="83"/>
      <c r="L44" s="83"/>
      <c r="M44" s="83"/>
      <c r="N44" s="83"/>
      <c r="O44" s="83"/>
    </row>
    <row r="45" spans="1:15" ht="20.25" x14ac:dyDescent="0.25">
      <c r="A45" s="103"/>
      <c r="B45" s="103"/>
      <c r="C45" s="105"/>
      <c r="D45" s="105"/>
      <c r="E45" s="83"/>
      <c r="F45" s="83"/>
      <c r="G45" s="83"/>
      <c r="H45" s="83"/>
      <c r="I45" s="83"/>
      <c r="J45" s="83"/>
      <c r="K45" s="83"/>
      <c r="L45" s="83"/>
      <c r="M45" s="83"/>
      <c r="N45" s="83"/>
      <c r="O45" s="83"/>
    </row>
    <row r="46" spans="1:15" ht="20.25" x14ac:dyDescent="0.25">
      <c r="A46" s="103"/>
      <c r="B46" s="103"/>
      <c r="C46" s="105"/>
      <c r="D46" s="105"/>
      <c r="E46" s="83"/>
      <c r="F46" s="83"/>
      <c r="G46" s="83"/>
      <c r="H46" s="83"/>
      <c r="I46" s="83"/>
      <c r="J46" s="83"/>
      <c r="K46" s="83"/>
      <c r="L46" s="83"/>
      <c r="M46" s="83"/>
      <c r="N46" s="83"/>
      <c r="O46" s="83"/>
    </row>
    <row r="47" spans="1:15" ht="20.25" x14ac:dyDescent="0.25">
      <c r="A47" s="103"/>
      <c r="B47" s="103"/>
      <c r="C47" s="105"/>
      <c r="D47" s="105"/>
      <c r="E47" s="83"/>
      <c r="F47" s="83"/>
      <c r="G47" s="83"/>
      <c r="H47" s="83"/>
      <c r="I47" s="83"/>
      <c r="J47" s="83"/>
      <c r="K47" s="83"/>
      <c r="L47" s="83"/>
      <c r="M47" s="83"/>
      <c r="N47" s="83"/>
      <c r="O47" s="83"/>
    </row>
    <row r="48" spans="1:15" ht="20.25" x14ac:dyDescent="0.25">
      <c r="A48" s="103"/>
      <c r="B48" s="103"/>
      <c r="C48" s="105"/>
      <c r="D48" s="105"/>
      <c r="E48" s="83"/>
      <c r="F48" s="83"/>
      <c r="G48" s="83"/>
      <c r="H48" s="83"/>
      <c r="I48" s="83"/>
      <c r="J48" s="83"/>
      <c r="K48" s="83"/>
      <c r="L48" s="83"/>
      <c r="M48" s="83"/>
      <c r="N48" s="83"/>
      <c r="O48" s="83"/>
    </row>
    <row r="49" spans="1:15" ht="20.25" x14ac:dyDescent="0.25">
      <c r="A49" s="103"/>
      <c r="B49" s="103"/>
      <c r="C49" s="105"/>
      <c r="D49" s="105"/>
      <c r="E49" s="83"/>
      <c r="F49" s="83"/>
      <c r="G49" s="83"/>
      <c r="H49" s="83"/>
      <c r="I49" s="83"/>
      <c r="J49" s="83"/>
      <c r="K49" s="83"/>
      <c r="L49" s="83"/>
      <c r="M49" s="83"/>
      <c r="N49" s="83"/>
      <c r="O49" s="83"/>
    </row>
    <row r="50" spans="1:15" ht="20.25" x14ac:dyDescent="0.25">
      <c r="A50" s="103"/>
      <c r="B50" s="103"/>
      <c r="C50" s="105"/>
      <c r="D50" s="105"/>
      <c r="E50" s="83"/>
      <c r="F50" s="83"/>
      <c r="G50" s="83"/>
      <c r="H50" s="83"/>
      <c r="I50" s="83"/>
      <c r="J50" s="83"/>
      <c r="K50" s="83"/>
      <c r="L50" s="83"/>
      <c r="M50" s="83"/>
      <c r="N50" s="83"/>
      <c r="O50" s="83"/>
    </row>
    <row r="51" spans="1:15" ht="20.25" x14ac:dyDescent="0.25">
      <c r="A51" s="103"/>
      <c r="B51" s="103"/>
      <c r="C51" s="105"/>
      <c r="D51" s="105"/>
      <c r="E51" s="83"/>
      <c r="F51" s="83"/>
      <c r="G51" s="83"/>
      <c r="H51" s="83"/>
      <c r="I51" s="83"/>
      <c r="J51" s="83"/>
      <c r="K51" s="83"/>
      <c r="L51" s="83"/>
      <c r="M51" s="83"/>
      <c r="N51" s="83"/>
      <c r="O51" s="83"/>
    </row>
    <row r="52" spans="1:15" ht="20.25" x14ac:dyDescent="0.25">
      <c r="A52" s="103"/>
      <c r="B52" s="23"/>
      <c r="C52" s="34"/>
      <c r="D52" s="34"/>
    </row>
    <row r="53" spans="1:15" ht="20.25" x14ac:dyDescent="0.25">
      <c r="A53" s="103"/>
      <c r="B53" s="23"/>
      <c r="C53" s="34"/>
      <c r="D53" s="34"/>
    </row>
    <row r="54" spans="1:15" ht="20.25" x14ac:dyDescent="0.25">
      <c r="A54" s="103"/>
      <c r="B54" s="23"/>
      <c r="C54" s="34"/>
      <c r="D54" s="34"/>
    </row>
    <row r="55" spans="1:15" ht="20.25" x14ac:dyDescent="0.25">
      <c r="A55" s="103"/>
      <c r="B55" s="23"/>
      <c r="C55" s="34"/>
      <c r="D55" s="34"/>
    </row>
    <row r="56" spans="1:15" ht="20.25" x14ac:dyDescent="0.25">
      <c r="A56" s="103"/>
      <c r="B56" s="23"/>
      <c r="C56" s="34"/>
      <c r="D56" s="34"/>
    </row>
    <row r="57" spans="1:15" ht="20.25" x14ac:dyDescent="0.25">
      <c r="A57" s="103"/>
      <c r="B57" s="23"/>
      <c r="C57" s="34"/>
      <c r="D57" s="34"/>
    </row>
    <row r="58" spans="1:15" ht="20.25" x14ac:dyDescent="0.25">
      <c r="A58" s="103"/>
      <c r="B58" s="23"/>
      <c r="C58" s="34"/>
      <c r="D58" s="34"/>
    </row>
    <row r="59" spans="1:15" ht="20.25" x14ac:dyDescent="0.25">
      <c r="A59" s="103"/>
      <c r="B59" s="23"/>
      <c r="C59" s="34"/>
      <c r="D59" s="34"/>
    </row>
    <row r="60" spans="1:15" ht="20.25" x14ac:dyDescent="0.25">
      <c r="A60" s="103"/>
      <c r="B60" s="23"/>
      <c r="C60" s="34"/>
      <c r="D60" s="34"/>
    </row>
    <row r="61" spans="1:15" ht="20.25" x14ac:dyDescent="0.25">
      <c r="A61" s="103"/>
      <c r="B61" s="23"/>
      <c r="C61" s="34"/>
      <c r="D61" s="34"/>
    </row>
    <row r="62" spans="1:15" ht="20.25" x14ac:dyDescent="0.25">
      <c r="A62" s="103"/>
      <c r="B62" s="23"/>
      <c r="C62" s="34"/>
      <c r="D62" s="34"/>
    </row>
    <row r="63" spans="1:15" ht="20.25" x14ac:dyDescent="0.25">
      <c r="A63" s="103"/>
      <c r="B63" s="23"/>
      <c r="C63" s="34"/>
      <c r="D63" s="34"/>
    </row>
    <row r="64" spans="1:15" ht="20.25" x14ac:dyDescent="0.25">
      <c r="A64" s="103"/>
      <c r="B64" s="23"/>
      <c r="C64" s="34"/>
      <c r="D64" s="34"/>
    </row>
    <row r="65" spans="1:4" ht="20.25" x14ac:dyDescent="0.25">
      <c r="A65" s="103"/>
      <c r="B65" s="23"/>
      <c r="C65" s="34"/>
      <c r="D65" s="34"/>
    </row>
    <row r="66" spans="1:4" ht="20.25" x14ac:dyDescent="0.25">
      <c r="A66" s="103"/>
      <c r="B66" s="23"/>
      <c r="C66" s="34"/>
      <c r="D66" s="34"/>
    </row>
    <row r="67" spans="1:4" ht="20.25" x14ac:dyDescent="0.25">
      <c r="A67" s="103"/>
      <c r="B67" s="23"/>
      <c r="C67" s="34"/>
      <c r="D67" s="34"/>
    </row>
    <row r="68" spans="1:4" ht="20.25" x14ac:dyDescent="0.25">
      <c r="A68" s="103"/>
      <c r="B68" s="23"/>
      <c r="C68" s="34"/>
      <c r="D68" s="34"/>
    </row>
    <row r="69" spans="1:4" ht="20.25" x14ac:dyDescent="0.25">
      <c r="A69" s="103"/>
      <c r="B69" s="23"/>
      <c r="C69" s="34"/>
      <c r="D69" s="34"/>
    </row>
    <row r="70" spans="1:4" ht="20.25" x14ac:dyDescent="0.25">
      <c r="A70" s="103"/>
      <c r="B70" s="23"/>
      <c r="C70" s="34"/>
      <c r="D70" s="34"/>
    </row>
    <row r="71" spans="1:4" ht="20.25" x14ac:dyDescent="0.25">
      <c r="A71" s="103"/>
      <c r="B71" s="23"/>
      <c r="C71" s="34"/>
      <c r="D71" s="34"/>
    </row>
    <row r="72" spans="1:4" ht="20.25" x14ac:dyDescent="0.25">
      <c r="A72" s="103"/>
      <c r="B72" s="23"/>
      <c r="C72" s="34"/>
      <c r="D72" s="34"/>
    </row>
    <row r="73" spans="1:4" ht="20.25" x14ac:dyDescent="0.25">
      <c r="A73" s="103"/>
      <c r="B73" s="23"/>
      <c r="C73" s="34"/>
      <c r="D73" s="34"/>
    </row>
    <row r="74" spans="1:4" ht="20.25" x14ac:dyDescent="0.25">
      <c r="A74" s="103"/>
      <c r="B74" s="23"/>
      <c r="C74" s="34"/>
      <c r="D74" s="34"/>
    </row>
    <row r="75" spans="1:4" ht="20.25" x14ac:dyDescent="0.25">
      <c r="A75" s="103"/>
      <c r="B75" s="23"/>
      <c r="C75" s="34"/>
      <c r="D75" s="34"/>
    </row>
    <row r="76" spans="1:4" ht="20.25" x14ac:dyDescent="0.25">
      <c r="A76" s="103"/>
      <c r="B76" s="23"/>
      <c r="C76" s="34"/>
      <c r="D76" s="34"/>
    </row>
    <row r="77" spans="1:4" ht="20.25" x14ac:dyDescent="0.25">
      <c r="A77" s="103"/>
      <c r="B77" s="23"/>
      <c r="C77" s="34"/>
      <c r="D77" s="34"/>
    </row>
    <row r="78" spans="1:4" ht="20.25" x14ac:dyDescent="0.25">
      <c r="A78" s="103"/>
      <c r="B78" s="23"/>
      <c r="C78" s="34"/>
      <c r="D78" s="34"/>
    </row>
    <row r="79" spans="1:4" ht="20.25" x14ac:dyDescent="0.25">
      <c r="A79" s="103"/>
      <c r="B79" s="23"/>
      <c r="C79" s="34"/>
      <c r="D79" s="34"/>
    </row>
    <row r="80" spans="1:4" ht="20.25" x14ac:dyDescent="0.25">
      <c r="A80" s="103"/>
      <c r="B80" s="23"/>
      <c r="C80" s="34"/>
      <c r="D80" s="34"/>
    </row>
    <row r="81" spans="1:4" ht="20.25" x14ac:dyDescent="0.25">
      <c r="A81" s="103"/>
      <c r="B81" s="23"/>
      <c r="C81" s="34"/>
      <c r="D81" s="34"/>
    </row>
    <row r="82" spans="1:4" ht="20.25" x14ac:dyDescent="0.25">
      <c r="A82" s="103"/>
      <c r="B82" s="23"/>
      <c r="C82" s="34"/>
      <c r="D82" s="34"/>
    </row>
    <row r="83" spans="1:4" ht="20.25" x14ac:dyDescent="0.25">
      <c r="A83" s="103"/>
      <c r="B83" s="23"/>
      <c r="C83" s="34"/>
      <c r="D83" s="34"/>
    </row>
    <row r="84" spans="1:4" ht="20.25" x14ac:dyDescent="0.25">
      <c r="A84" s="103"/>
      <c r="B84" s="23"/>
      <c r="C84" s="34"/>
      <c r="D84" s="34"/>
    </row>
    <row r="85" spans="1:4" ht="20.25" x14ac:dyDescent="0.25">
      <c r="A85" s="103"/>
      <c r="B85" s="23"/>
      <c r="C85" s="34"/>
      <c r="D85" s="34"/>
    </row>
    <row r="86" spans="1:4" ht="20.25" x14ac:dyDescent="0.25">
      <c r="A86" s="103"/>
      <c r="B86" s="23"/>
      <c r="C86" s="34"/>
      <c r="D86" s="34"/>
    </row>
    <row r="87" spans="1:4" ht="20.25" x14ac:dyDescent="0.25">
      <c r="A87" s="103"/>
      <c r="B87" s="23"/>
      <c r="C87" s="34"/>
      <c r="D87" s="34"/>
    </row>
    <row r="88" spans="1:4" ht="20.25" x14ac:dyDescent="0.25">
      <c r="A88" s="103"/>
      <c r="B88" s="23"/>
      <c r="C88" s="34"/>
      <c r="D88" s="34"/>
    </row>
    <row r="89" spans="1:4" ht="20.25" x14ac:dyDescent="0.25">
      <c r="A89" s="103"/>
      <c r="B89" s="23"/>
      <c r="C89" s="34"/>
      <c r="D89" s="34"/>
    </row>
    <row r="90" spans="1:4" ht="20.25" x14ac:dyDescent="0.25">
      <c r="A90" s="103"/>
      <c r="B90" s="23"/>
      <c r="C90" s="34"/>
      <c r="D90" s="34"/>
    </row>
    <row r="91" spans="1:4" ht="20.25" x14ac:dyDescent="0.25">
      <c r="A91" s="103"/>
      <c r="B91" s="23"/>
      <c r="C91" s="34"/>
      <c r="D91" s="34"/>
    </row>
    <row r="92" spans="1:4" ht="20.25" x14ac:dyDescent="0.25">
      <c r="A92" s="103"/>
      <c r="B92" s="23"/>
      <c r="C92" s="34"/>
      <c r="D92" s="34"/>
    </row>
    <row r="93" spans="1:4" ht="20.25" x14ac:dyDescent="0.25">
      <c r="A93" s="103"/>
      <c r="B93" s="23"/>
      <c r="C93" s="34"/>
      <c r="D93" s="34"/>
    </row>
    <row r="94" spans="1:4" ht="20.25" x14ac:dyDescent="0.25">
      <c r="A94" s="103"/>
      <c r="B94" s="23"/>
      <c r="C94" s="34"/>
      <c r="D94" s="34"/>
    </row>
    <row r="95" spans="1:4" ht="20.25" x14ac:dyDescent="0.25">
      <c r="A95" s="103"/>
      <c r="B95" s="23"/>
      <c r="C95" s="34"/>
      <c r="D95" s="34"/>
    </row>
    <row r="96" spans="1:4" ht="20.25" x14ac:dyDescent="0.25">
      <c r="A96" s="103"/>
      <c r="B96" s="23"/>
      <c r="C96" s="34"/>
      <c r="D96" s="34"/>
    </row>
    <row r="97" spans="1:4" ht="20.25" x14ac:dyDescent="0.25">
      <c r="A97" s="103"/>
      <c r="B97" s="23"/>
      <c r="C97" s="34"/>
      <c r="D97" s="34"/>
    </row>
    <row r="98" spans="1:4" ht="20.25" x14ac:dyDescent="0.25">
      <c r="A98" s="103"/>
      <c r="B98" s="23"/>
      <c r="C98" s="34"/>
      <c r="D98" s="34"/>
    </row>
    <row r="99" spans="1:4" ht="20.25" x14ac:dyDescent="0.25">
      <c r="A99" s="103"/>
      <c r="B99" s="23"/>
      <c r="C99" s="34"/>
      <c r="D99" s="34"/>
    </row>
    <row r="100" spans="1:4" ht="20.25" x14ac:dyDescent="0.25">
      <c r="A100" s="103"/>
      <c r="B100" s="23"/>
      <c r="C100" s="34"/>
      <c r="D100" s="34"/>
    </row>
    <row r="101" spans="1:4" ht="20.25" x14ac:dyDescent="0.25">
      <c r="A101" s="103"/>
      <c r="B101" s="23"/>
      <c r="C101" s="34"/>
      <c r="D101" s="34"/>
    </row>
    <row r="102" spans="1:4" ht="20.25" x14ac:dyDescent="0.25">
      <c r="A102" s="103"/>
      <c r="B102" s="23"/>
      <c r="C102" s="34"/>
      <c r="D102" s="34"/>
    </row>
    <row r="103" spans="1:4" ht="20.25" x14ac:dyDescent="0.25">
      <c r="A103" s="103"/>
      <c r="B103" s="23"/>
      <c r="C103" s="34"/>
      <c r="D103" s="34"/>
    </row>
    <row r="104" spans="1:4" ht="20.25" x14ac:dyDescent="0.25">
      <c r="A104" s="103"/>
      <c r="B104" s="23"/>
      <c r="C104" s="34"/>
      <c r="D104" s="34"/>
    </row>
    <row r="105" spans="1:4" ht="20.25" x14ac:dyDescent="0.25">
      <c r="A105" s="103"/>
      <c r="B105" s="23"/>
      <c r="C105" s="34"/>
      <c r="D105" s="34"/>
    </row>
    <row r="106" spans="1:4" ht="20.25" x14ac:dyDescent="0.25">
      <c r="A106" s="103"/>
      <c r="B106" s="23"/>
      <c r="C106" s="34"/>
      <c r="D106" s="34"/>
    </row>
    <row r="107" spans="1:4" ht="20.25" x14ac:dyDescent="0.25">
      <c r="A107" s="103"/>
      <c r="B107" s="23"/>
      <c r="C107" s="34"/>
      <c r="D107" s="34"/>
    </row>
    <row r="108" spans="1:4" ht="20.25" x14ac:dyDescent="0.25">
      <c r="A108" s="103"/>
      <c r="B108" s="23"/>
      <c r="C108" s="34"/>
      <c r="D108" s="34"/>
    </row>
    <row r="109" spans="1:4" ht="20.25" x14ac:dyDescent="0.25">
      <c r="A109" s="103"/>
      <c r="B109" s="23"/>
      <c r="C109" s="34"/>
      <c r="D109" s="34"/>
    </row>
    <row r="110" spans="1:4" ht="20.25" x14ac:dyDescent="0.25">
      <c r="A110" s="103"/>
      <c r="B110" s="23"/>
      <c r="C110" s="34"/>
      <c r="D110" s="34"/>
    </row>
    <row r="111" spans="1:4" ht="20.25" x14ac:dyDescent="0.25">
      <c r="A111" s="103"/>
      <c r="B111" s="23"/>
      <c r="C111" s="34"/>
      <c r="D111" s="34"/>
    </row>
    <row r="112" spans="1:4" ht="20.25" x14ac:dyDescent="0.25">
      <c r="A112" s="103"/>
      <c r="B112" s="23"/>
      <c r="C112" s="34"/>
      <c r="D112" s="34"/>
    </row>
    <row r="113" spans="1:4" ht="20.25" x14ac:dyDescent="0.25">
      <c r="A113" s="103"/>
      <c r="B113" s="23"/>
      <c r="C113" s="34"/>
      <c r="D113" s="34"/>
    </row>
    <row r="114" spans="1:4" ht="20.25" x14ac:dyDescent="0.25">
      <c r="A114" s="103"/>
      <c r="B114" s="23"/>
      <c r="C114" s="34"/>
      <c r="D114" s="34"/>
    </row>
    <row r="115" spans="1:4" ht="20.25" x14ac:dyDescent="0.25">
      <c r="A115" s="103"/>
      <c r="B115" s="23"/>
      <c r="C115" s="34"/>
      <c r="D115" s="34"/>
    </row>
    <row r="116" spans="1:4" ht="20.25" x14ac:dyDescent="0.25">
      <c r="A116" s="103"/>
      <c r="B116" s="23"/>
      <c r="C116" s="34"/>
      <c r="D116" s="34"/>
    </row>
    <row r="117" spans="1:4" ht="20.25" x14ac:dyDescent="0.25">
      <c r="A117" s="103"/>
      <c r="B117" s="23"/>
      <c r="C117" s="34"/>
      <c r="D117" s="34"/>
    </row>
    <row r="118" spans="1:4" ht="20.25" x14ac:dyDescent="0.25">
      <c r="A118" s="103"/>
      <c r="B118" s="23"/>
      <c r="C118" s="34"/>
      <c r="D118" s="34"/>
    </row>
    <row r="119" spans="1:4" ht="20.25" x14ac:dyDescent="0.25">
      <c r="A119" s="103"/>
      <c r="B119" s="23"/>
      <c r="C119" s="34"/>
      <c r="D119" s="34"/>
    </row>
    <row r="120" spans="1:4" ht="20.25" x14ac:dyDescent="0.25">
      <c r="A120" s="103"/>
      <c r="B120" s="23"/>
      <c r="C120" s="34"/>
      <c r="D120" s="34"/>
    </row>
    <row r="121" spans="1:4" ht="20.25" x14ac:dyDescent="0.25">
      <c r="A121" s="103"/>
      <c r="B121" s="23"/>
      <c r="C121" s="34"/>
      <c r="D121" s="34"/>
    </row>
    <row r="122" spans="1:4" ht="20.25" x14ac:dyDescent="0.25">
      <c r="A122" s="103"/>
      <c r="B122" s="23"/>
      <c r="C122" s="34"/>
      <c r="D122" s="34"/>
    </row>
    <row r="123" spans="1:4" ht="20.25" x14ac:dyDescent="0.25">
      <c r="A123" s="103"/>
      <c r="B123" s="23"/>
      <c r="C123" s="34"/>
      <c r="D123" s="34"/>
    </row>
    <row r="124" spans="1:4" ht="20.25" x14ac:dyDescent="0.25">
      <c r="A124" s="103"/>
      <c r="B124" s="23"/>
      <c r="C124" s="34"/>
      <c r="D124" s="34"/>
    </row>
    <row r="125" spans="1:4" ht="20.25" x14ac:dyDescent="0.25">
      <c r="A125" s="103"/>
      <c r="B125" s="23"/>
      <c r="C125" s="34"/>
      <c r="D125" s="34"/>
    </row>
    <row r="126" spans="1:4" ht="20.25" x14ac:dyDescent="0.25">
      <c r="A126" s="103"/>
      <c r="B126" s="23"/>
      <c r="C126" s="34"/>
      <c r="D126" s="34"/>
    </row>
    <row r="127" spans="1:4" ht="20.25" x14ac:dyDescent="0.25">
      <c r="A127" s="103"/>
      <c r="B127" s="23"/>
      <c r="C127" s="34"/>
      <c r="D127" s="34"/>
    </row>
    <row r="128" spans="1:4" ht="20.25" x14ac:dyDescent="0.25">
      <c r="A128" s="103"/>
      <c r="B128" s="23"/>
      <c r="C128" s="34"/>
      <c r="D128" s="34"/>
    </row>
    <row r="129" spans="1:4" ht="20.25" x14ac:dyDescent="0.25">
      <c r="A129" s="103"/>
      <c r="B129" s="23"/>
      <c r="C129" s="34"/>
      <c r="D129" s="34"/>
    </row>
    <row r="130" spans="1:4" ht="20.25" x14ac:dyDescent="0.25">
      <c r="A130" s="103"/>
      <c r="B130" s="23"/>
      <c r="C130" s="34"/>
      <c r="D130" s="34"/>
    </row>
    <row r="131" spans="1:4" ht="20.25" x14ac:dyDescent="0.25">
      <c r="A131" s="103"/>
      <c r="B131" s="23"/>
      <c r="C131" s="34"/>
      <c r="D131" s="34"/>
    </row>
    <row r="132" spans="1:4" ht="20.25" x14ac:dyDescent="0.25">
      <c r="A132" s="103"/>
      <c r="B132" s="23"/>
      <c r="C132" s="34"/>
      <c r="D132" s="34"/>
    </row>
    <row r="133" spans="1:4" ht="20.25" x14ac:dyDescent="0.25">
      <c r="A133" s="103"/>
      <c r="B133" s="23"/>
      <c r="C133" s="34"/>
      <c r="D133" s="34"/>
    </row>
    <row r="134" spans="1:4" ht="20.25" x14ac:dyDescent="0.25">
      <c r="A134" s="103"/>
      <c r="B134" s="23"/>
      <c r="C134" s="34"/>
      <c r="D134" s="34"/>
    </row>
    <row r="135" spans="1:4" ht="20.25" x14ac:dyDescent="0.25">
      <c r="A135" s="103"/>
      <c r="B135" s="23"/>
      <c r="C135" s="34"/>
      <c r="D135" s="34"/>
    </row>
    <row r="136" spans="1:4" ht="20.25" x14ac:dyDescent="0.25">
      <c r="A136" s="103"/>
      <c r="B136" s="23"/>
      <c r="C136" s="34"/>
      <c r="D136" s="34"/>
    </row>
    <row r="137" spans="1:4" ht="20.25" x14ac:dyDescent="0.25">
      <c r="A137" s="103"/>
      <c r="B137" s="23"/>
      <c r="C137" s="34"/>
      <c r="D137" s="34"/>
    </row>
    <row r="138" spans="1:4" ht="20.25" x14ac:dyDescent="0.25">
      <c r="A138" s="103"/>
      <c r="B138" s="23"/>
      <c r="C138" s="34"/>
      <c r="D138" s="34"/>
    </row>
    <row r="139" spans="1:4" ht="20.25" x14ac:dyDescent="0.25">
      <c r="A139" s="103"/>
      <c r="B139" s="23"/>
      <c r="C139" s="34"/>
      <c r="D139" s="34"/>
    </row>
    <row r="140" spans="1:4" ht="20.25" x14ac:dyDescent="0.25">
      <c r="A140" s="103"/>
      <c r="B140" s="23"/>
      <c r="C140" s="34"/>
      <c r="D140" s="34"/>
    </row>
    <row r="141" spans="1:4" ht="20.25" x14ac:dyDescent="0.25">
      <c r="A141" s="103"/>
      <c r="B141" s="23"/>
      <c r="C141" s="34"/>
      <c r="D141" s="34"/>
    </row>
    <row r="142" spans="1:4" ht="20.25" x14ac:dyDescent="0.25">
      <c r="A142" s="103"/>
      <c r="B142" s="23"/>
      <c r="C142" s="34"/>
      <c r="D142" s="34"/>
    </row>
    <row r="143" spans="1:4" ht="20.25" x14ac:dyDescent="0.25">
      <c r="A143" s="103"/>
      <c r="B143" s="23"/>
      <c r="C143" s="34"/>
      <c r="D143" s="34"/>
    </row>
    <row r="144" spans="1:4" ht="20.25" x14ac:dyDescent="0.25">
      <c r="A144" s="103"/>
      <c r="B144" s="23"/>
      <c r="C144" s="34"/>
      <c r="D144" s="34"/>
    </row>
    <row r="145" spans="1:4" ht="20.25" x14ac:dyDescent="0.25">
      <c r="A145" s="103"/>
      <c r="B145" s="23"/>
      <c r="C145" s="34"/>
      <c r="D145" s="34"/>
    </row>
    <row r="146" spans="1:4" ht="20.25" x14ac:dyDescent="0.25">
      <c r="A146" s="103"/>
      <c r="B146" s="23"/>
      <c r="C146" s="34"/>
      <c r="D146" s="34"/>
    </row>
    <row r="147" spans="1:4" ht="20.25" x14ac:dyDescent="0.25">
      <c r="A147" s="103"/>
      <c r="B147" s="23"/>
      <c r="C147" s="34"/>
      <c r="D147" s="34"/>
    </row>
    <row r="148" spans="1:4" ht="20.25" x14ac:dyDescent="0.25">
      <c r="A148" s="103"/>
      <c r="B148" s="23"/>
      <c r="C148" s="34"/>
      <c r="D148" s="34"/>
    </row>
    <row r="149" spans="1:4" ht="20.25" x14ac:dyDescent="0.25">
      <c r="A149" s="103"/>
      <c r="B149" s="23"/>
      <c r="C149" s="34"/>
      <c r="D149" s="34"/>
    </row>
    <row r="150" spans="1:4" ht="20.25" x14ac:dyDescent="0.25">
      <c r="A150" s="103"/>
      <c r="B150" s="23"/>
      <c r="C150" s="34"/>
      <c r="D150" s="34"/>
    </row>
    <row r="151" spans="1:4" ht="20.25" x14ac:dyDescent="0.25">
      <c r="A151" s="103"/>
      <c r="B151" s="23"/>
      <c r="C151" s="34"/>
      <c r="D151" s="34"/>
    </row>
    <row r="152" spans="1:4" ht="20.25" x14ac:dyDescent="0.25">
      <c r="A152" s="103"/>
      <c r="B152" s="23"/>
      <c r="C152" s="34"/>
      <c r="D152" s="34"/>
    </row>
    <row r="153" spans="1:4" ht="20.25" x14ac:dyDescent="0.25">
      <c r="A153" s="103"/>
      <c r="B153" s="23"/>
      <c r="C153" s="34"/>
      <c r="D153" s="34"/>
    </row>
    <row r="154" spans="1:4" ht="20.25" x14ac:dyDescent="0.25">
      <c r="A154" s="103"/>
      <c r="B154" s="23"/>
      <c r="C154" s="34"/>
      <c r="D154" s="34"/>
    </row>
    <row r="155" spans="1:4" ht="20.25" x14ac:dyDescent="0.25">
      <c r="A155" s="103"/>
      <c r="B155" s="23"/>
      <c r="C155" s="34"/>
      <c r="D155" s="34"/>
    </row>
    <row r="156" spans="1:4" ht="20.25" x14ac:dyDescent="0.25">
      <c r="A156" s="103"/>
      <c r="B156" s="23"/>
      <c r="C156" s="34"/>
      <c r="D156" s="34"/>
    </row>
    <row r="157" spans="1:4" ht="20.25" x14ac:dyDescent="0.25">
      <c r="A157" s="103"/>
      <c r="B157" s="23"/>
      <c r="C157" s="34"/>
      <c r="D157" s="34"/>
    </row>
    <row r="158" spans="1:4" ht="20.25" x14ac:dyDescent="0.25">
      <c r="A158" s="103"/>
      <c r="B158" s="23"/>
      <c r="C158" s="34"/>
      <c r="D158" s="34"/>
    </row>
    <row r="159" spans="1:4" ht="20.25" x14ac:dyDescent="0.25">
      <c r="A159" s="103"/>
      <c r="B159" s="23"/>
      <c r="C159" s="34"/>
      <c r="D159" s="34"/>
    </row>
    <row r="160" spans="1:4" ht="20.25" x14ac:dyDescent="0.25">
      <c r="A160" s="103"/>
      <c r="B160" s="23"/>
      <c r="C160" s="34"/>
      <c r="D160" s="34"/>
    </row>
    <row r="161" spans="1:4" ht="20.25" x14ac:dyDescent="0.25">
      <c r="A161" s="103"/>
      <c r="B161" s="23"/>
      <c r="C161" s="34"/>
      <c r="D161" s="34"/>
    </row>
    <row r="162" spans="1:4" ht="20.25" x14ac:dyDescent="0.25">
      <c r="A162" s="103"/>
      <c r="B162" s="23"/>
      <c r="C162" s="34"/>
      <c r="D162" s="34"/>
    </row>
    <row r="163" spans="1:4" ht="20.25" x14ac:dyDescent="0.25">
      <c r="A163" s="103"/>
      <c r="B163" s="23"/>
      <c r="C163" s="34"/>
      <c r="D163" s="34"/>
    </row>
    <row r="164" spans="1:4" ht="20.25" x14ac:dyDescent="0.25">
      <c r="A164" s="103"/>
      <c r="B164" s="23"/>
      <c r="C164" s="34"/>
      <c r="D164" s="34"/>
    </row>
    <row r="165" spans="1:4" ht="20.25" x14ac:dyDescent="0.25">
      <c r="A165" s="103"/>
      <c r="B165" s="23"/>
      <c r="C165" s="34"/>
      <c r="D165" s="34"/>
    </row>
    <row r="166" spans="1:4" ht="20.25" x14ac:dyDescent="0.25">
      <c r="A166" s="103"/>
      <c r="B166" s="23"/>
      <c r="C166" s="34"/>
      <c r="D166" s="34"/>
    </row>
    <row r="167" spans="1:4" ht="20.25" x14ac:dyDescent="0.25">
      <c r="A167" s="103"/>
      <c r="B167" s="23"/>
      <c r="C167" s="34"/>
      <c r="D167" s="34"/>
    </row>
    <row r="168" spans="1:4" ht="20.25" x14ac:dyDescent="0.25">
      <c r="A168" s="103"/>
      <c r="B168" s="23"/>
      <c r="C168" s="34"/>
      <c r="D168" s="34"/>
    </row>
    <row r="169" spans="1:4" ht="20.25" x14ac:dyDescent="0.25">
      <c r="A169" s="103"/>
      <c r="B169" s="23"/>
      <c r="C169" s="34"/>
      <c r="D169" s="34"/>
    </row>
    <row r="170" spans="1:4" ht="20.25" x14ac:dyDescent="0.25">
      <c r="A170" s="103"/>
      <c r="B170" s="23"/>
      <c r="C170" s="34"/>
      <c r="D170" s="34"/>
    </row>
    <row r="171" spans="1:4" ht="20.25" x14ac:dyDescent="0.25">
      <c r="A171" s="103"/>
      <c r="B171" s="23"/>
      <c r="C171" s="34"/>
      <c r="D171" s="34"/>
    </row>
    <row r="172" spans="1:4" ht="20.25" x14ac:dyDescent="0.25">
      <c r="A172" s="103"/>
      <c r="B172" s="23"/>
      <c r="C172" s="34"/>
      <c r="D172" s="34"/>
    </row>
    <row r="173" spans="1:4" ht="20.25" x14ac:dyDescent="0.25">
      <c r="A173" s="103"/>
      <c r="B173" s="23"/>
      <c r="C173" s="34"/>
      <c r="D173" s="34"/>
    </row>
    <row r="174" spans="1:4" ht="20.25" x14ac:dyDescent="0.25">
      <c r="A174" s="103"/>
      <c r="B174" s="23"/>
      <c r="C174" s="34"/>
      <c r="D174" s="34"/>
    </row>
    <row r="175" spans="1:4" ht="20.25" x14ac:dyDescent="0.25">
      <c r="A175" s="103"/>
      <c r="B175" s="23"/>
      <c r="C175" s="34"/>
      <c r="D175" s="34"/>
    </row>
    <row r="176" spans="1:4" ht="20.25" x14ac:dyDescent="0.25">
      <c r="A176" s="103"/>
      <c r="B176" s="23"/>
      <c r="C176" s="34"/>
      <c r="D176" s="34"/>
    </row>
    <row r="177" spans="1:4" ht="20.25" x14ac:dyDescent="0.25">
      <c r="A177" s="103"/>
      <c r="B177" s="23"/>
      <c r="C177" s="34"/>
      <c r="D177" s="34"/>
    </row>
    <row r="178" spans="1:4" ht="20.25" x14ac:dyDescent="0.25">
      <c r="A178" s="103"/>
      <c r="B178" s="23"/>
      <c r="C178" s="34"/>
      <c r="D178" s="34"/>
    </row>
    <row r="179" spans="1:4" ht="20.25" x14ac:dyDescent="0.25">
      <c r="A179" s="103"/>
      <c r="B179" s="23"/>
      <c r="C179" s="34"/>
      <c r="D179" s="34"/>
    </row>
    <row r="180" spans="1:4" ht="20.25" x14ac:dyDescent="0.25">
      <c r="A180" s="103"/>
      <c r="B180" s="23"/>
      <c r="C180" s="34"/>
      <c r="D180" s="34"/>
    </row>
    <row r="181" spans="1:4" ht="20.25" x14ac:dyDescent="0.25">
      <c r="A181" s="103"/>
      <c r="B181" s="23"/>
      <c r="C181" s="34"/>
      <c r="D181" s="34"/>
    </row>
    <row r="182" spans="1:4" ht="20.25" x14ac:dyDescent="0.25">
      <c r="A182" s="103"/>
      <c r="B182" s="23"/>
      <c r="C182" s="34"/>
      <c r="D182" s="34"/>
    </row>
    <row r="183" spans="1:4" ht="20.25" x14ac:dyDescent="0.25">
      <c r="A183" s="103"/>
      <c r="B183" s="23"/>
      <c r="C183" s="34"/>
      <c r="D183" s="34"/>
    </row>
    <row r="184" spans="1:4" ht="20.25" x14ac:dyDescent="0.25">
      <c r="A184" s="103"/>
      <c r="B184" s="23"/>
      <c r="C184" s="34"/>
      <c r="D184" s="34"/>
    </row>
    <row r="185" spans="1:4" ht="20.25" x14ac:dyDescent="0.25">
      <c r="A185" s="103"/>
      <c r="B185" s="23"/>
      <c r="C185" s="34"/>
      <c r="D185" s="34"/>
    </row>
    <row r="186" spans="1:4" ht="20.25" x14ac:dyDescent="0.25">
      <c r="A186" s="103"/>
      <c r="B186" s="23"/>
      <c r="C186" s="34"/>
      <c r="D186" s="34"/>
    </row>
    <row r="187" spans="1:4" ht="20.25" x14ac:dyDescent="0.25">
      <c r="A187" s="103"/>
      <c r="B187" s="23"/>
      <c r="C187" s="34"/>
      <c r="D187" s="34"/>
    </row>
    <row r="188" spans="1:4" ht="20.25" x14ac:dyDescent="0.25">
      <c r="A188" s="103"/>
      <c r="B188" s="23"/>
      <c r="C188" s="34"/>
      <c r="D188" s="34"/>
    </row>
    <row r="189" spans="1:4" ht="20.25" x14ac:dyDescent="0.25">
      <c r="A189" s="103"/>
      <c r="B189" s="23"/>
      <c r="C189" s="34"/>
      <c r="D189" s="34"/>
    </row>
    <row r="190" spans="1:4" ht="20.25" x14ac:dyDescent="0.25">
      <c r="A190" s="103"/>
      <c r="B190" s="23"/>
      <c r="C190" s="34"/>
      <c r="D190" s="34"/>
    </row>
    <row r="191" spans="1:4" ht="20.25" x14ac:dyDescent="0.25">
      <c r="A191" s="103"/>
      <c r="B191" s="23"/>
      <c r="C191" s="34"/>
      <c r="D191" s="34"/>
    </row>
    <row r="192" spans="1:4" ht="20.25" x14ac:dyDescent="0.25">
      <c r="A192" s="103"/>
      <c r="B192" s="23"/>
      <c r="C192" s="34"/>
      <c r="D192" s="34"/>
    </row>
    <row r="193" spans="1:4" ht="20.25" x14ac:dyDescent="0.25">
      <c r="A193" s="103"/>
      <c r="B193" s="23"/>
      <c r="C193" s="34"/>
      <c r="D193" s="34"/>
    </row>
    <row r="194" spans="1:4" ht="20.25" x14ac:dyDescent="0.25">
      <c r="A194" s="103"/>
      <c r="B194" s="23"/>
      <c r="C194" s="34"/>
      <c r="D194" s="34"/>
    </row>
    <row r="195" spans="1:4" ht="20.25" x14ac:dyDescent="0.25">
      <c r="A195" s="103"/>
      <c r="B195" s="23"/>
      <c r="C195" s="34"/>
      <c r="D195" s="34"/>
    </row>
    <row r="196" spans="1:4" ht="20.25" x14ac:dyDescent="0.25">
      <c r="A196" s="103"/>
      <c r="B196" s="23"/>
      <c r="C196" s="34"/>
      <c r="D196" s="34"/>
    </row>
    <row r="197" spans="1:4" ht="20.25" x14ac:dyDescent="0.25">
      <c r="A197" s="103"/>
      <c r="B197" s="23"/>
      <c r="C197" s="34"/>
      <c r="D197" s="34"/>
    </row>
    <row r="198" spans="1:4" ht="20.25" x14ac:dyDescent="0.25">
      <c r="A198" s="103"/>
      <c r="B198" s="23"/>
      <c r="C198" s="34"/>
      <c r="D198" s="34"/>
    </row>
    <row r="199" spans="1:4" ht="20.25" x14ac:dyDescent="0.25">
      <c r="A199" s="103"/>
      <c r="B199" s="23"/>
      <c r="C199" s="34"/>
      <c r="D199" s="34"/>
    </row>
    <row r="200" spans="1:4" ht="20.25" x14ac:dyDescent="0.25">
      <c r="A200" s="103"/>
      <c r="B200" s="23"/>
      <c r="C200" s="34"/>
      <c r="D200" s="34"/>
    </row>
    <row r="201" spans="1:4" ht="20.25" x14ac:dyDescent="0.25">
      <c r="A201" s="103"/>
      <c r="B201" s="23"/>
      <c r="C201" s="34"/>
      <c r="D201" s="34"/>
    </row>
    <row r="202" spans="1:4" ht="20.25" x14ac:dyDescent="0.25">
      <c r="A202" s="103"/>
      <c r="B202" s="23"/>
      <c r="C202" s="34"/>
      <c r="D202" s="34"/>
    </row>
    <row r="203" spans="1:4" ht="20.25" x14ac:dyDescent="0.25">
      <c r="A203" s="103"/>
      <c r="B203" s="23"/>
      <c r="C203" s="34"/>
      <c r="D203" s="34"/>
    </row>
    <row r="204" spans="1:4" ht="20.25" x14ac:dyDescent="0.25">
      <c r="A204" s="103"/>
      <c r="B204" s="23"/>
      <c r="C204" s="34"/>
      <c r="D204" s="34"/>
    </row>
    <row r="205" spans="1:4" ht="20.25" x14ac:dyDescent="0.25">
      <c r="A205" s="103"/>
      <c r="B205" s="23"/>
      <c r="C205" s="34"/>
      <c r="D205" s="34"/>
    </row>
    <row r="206" spans="1:4" ht="20.25" x14ac:dyDescent="0.25">
      <c r="A206" s="103"/>
      <c r="B206" s="23"/>
      <c r="C206" s="34"/>
      <c r="D206" s="34"/>
    </row>
    <row r="207" spans="1:4" ht="20.25" x14ac:dyDescent="0.25">
      <c r="A207" s="103"/>
      <c r="B207" s="23"/>
      <c r="C207" s="34"/>
      <c r="D207" s="34"/>
    </row>
    <row r="208" spans="1:4" x14ac:dyDescent="0.25">
      <c r="A208" s="83"/>
      <c r="B208" s="23"/>
      <c r="C208" s="23"/>
      <c r="D208" s="23"/>
    </row>
    <row r="209" spans="1:8" ht="20.25" x14ac:dyDescent="0.25">
      <c r="A209" s="83"/>
      <c r="B209" s="30" t="s">
        <v>88</v>
      </c>
      <c r="C209" s="30" t="s">
        <v>145</v>
      </c>
      <c r="D209" s="33" t="s">
        <v>88</v>
      </c>
      <c r="E209" s="33" t="s">
        <v>145</v>
      </c>
    </row>
    <row r="210" spans="1:8" ht="21" x14ac:dyDescent="0.35">
      <c r="A210" s="83"/>
      <c r="B210" s="31" t="s">
        <v>90</v>
      </c>
      <c r="C210" s="31" t="s">
        <v>58</v>
      </c>
      <c r="D210" t="s">
        <v>90</v>
      </c>
      <c r="F210" t="str">
        <f>IF(NOT(ISBLANK(D210)),D210,IF(NOT(ISBLANK(E210)),"     "&amp;E210,FALSE))</f>
        <v>Afectación Económica o presupuestal</v>
      </c>
      <c r="G210" t="s">
        <v>90</v>
      </c>
      <c r="H210" t="str">
        <f ca="1">IF(NOT(ISERROR(MATCH(G210,_xlfn.ANCHORARRAY(B221),0))),F223&amp;"Por favor no seleccionar los criterios de impacto",G210)</f>
        <v>Afectación Económica o presupuestal</v>
      </c>
    </row>
    <row r="211" spans="1:8" ht="21" x14ac:dyDescent="0.35">
      <c r="A211" s="83"/>
      <c r="B211" s="31" t="s">
        <v>90</v>
      </c>
      <c r="C211" s="31" t="s">
        <v>93</v>
      </c>
      <c r="E211" t="s">
        <v>58</v>
      </c>
      <c r="F211" t="str">
        <f t="shared" ref="F211:F221" si="0">IF(NOT(ISBLANK(D211)),D211,IF(NOT(ISBLANK(E211)),"     "&amp;E211,FALSE))</f>
        <v xml:space="preserve">     Afectación menor a 10 SMLMV .</v>
      </c>
    </row>
    <row r="212" spans="1:8" ht="21" x14ac:dyDescent="0.35">
      <c r="A212" s="83"/>
      <c r="B212" s="31" t="s">
        <v>90</v>
      </c>
      <c r="C212" s="31" t="s">
        <v>94</v>
      </c>
      <c r="E212" t="s">
        <v>93</v>
      </c>
      <c r="F212" t="str">
        <f t="shared" si="0"/>
        <v xml:space="preserve">     Entre 10 y 50 SMLMV </v>
      </c>
    </row>
    <row r="213" spans="1:8" ht="21" x14ac:dyDescent="0.35">
      <c r="A213" s="83"/>
      <c r="B213" s="31" t="s">
        <v>90</v>
      </c>
      <c r="C213" s="31" t="s">
        <v>95</v>
      </c>
      <c r="E213" t="s">
        <v>94</v>
      </c>
      <c r="F213" t="str">
        <f t="shared" si="0"/>
        <v xml:space="preserve">     Entre 50 y 100 SMLMV </v>
      </c>
    </row>
    <row r="214" spans="1:8" ht="21" x14ac:dyDescent="0.35">
      <c r="A214" s="83"/>
      <c r="B214" s="31" t="s">
        <v>90</v>
      </c>
      <c r="C214" s="31" t="s">
        <v>96</v>
      </c>
      <c r="E214" t="s">
        <v>95</v>
      </c>
      <c r="F214" t="str">
        <f t="shared" si="0"/>
        <v xml:space="preserve">     Entre 100 y 500 SMLMV </v>
      </c>
    </row>
    <row r="215" spans="1:8" ht="21" x14ac:dyDescent="0.35">
      <c r="A215" s="83"/>
      <c r="B215" s="31" t="s">
        <v>57</v>
      </c>
      <c r="C215" s="31" t="s">
        <v>97</v>
      </c>
      <c r="E215" t="s">
        <v>96</v>
      </c>
      <c r="F215" t="str">
        <f t="shared" si="0"/>
        <v xml:space="preserve">     Mayor a 500 SMLMV </v>
      </c>
    </row>
    <row r="216" spans="1:8" ht="21" x14ac:dyDescent="0.35">
      <c r="A216" s="83"/>
      <c r="B216" s="31" t="s">
        <v>57</v>
      </c>
      <c r="C216" s="31" t="s">
        <v>98</v>
      </c>
      <c r="D216" t="s">
        <v>57</v>
      </c>
      <c r="F216" t="str">
        <f t="shared" si="0"/>
        <v>Pérdida Reputacional</v>
      </c>
    </row>
    <row r="217" spans="1:8" ht="21" x14ac:dyDescent="0.35">
      <c r="A217" s="83"/>
      <c r="B217" s="31" t="s">
        <v>57</v>
      </c>
      <c r="C217" s="31" t="s">
        <v>100</v>
      </c>
      <c r="E217" t="s">
        <v>97</v>
      </c>
      <c r="F217" t="str">
        <f t="shared" si="0"/>
        <v xml:space="preserve">     El riesgo afecta la imagen de alguna área de la organización</v>
      </c>
    </row>
    <row r="218" spans="1:8" ht="21" x14ac:dyDescent="0.35">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3"/>
      <c r="B219" s="31" t="s">
        <v>57</v>
      </c>
      <c r="C219" s="31" t="s">
        <v>118</v>
      </c>
      <c r="E219" t="s">
        <v>100</v>
      </c>
      <c r="F219" t="str">
        <f t="shared" si="0"/>
        <v xml:space="preserve">     El riesgo afecta la imagen de la entidad con algunos usuarios de relevancia frente al logro de los objetivos</v>
      </c>
    </row>
    <row r="220" spans="1:8" x14ac:dyDescent="0.25">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3"/>
      <c r="B221" s="32" t="e" cm="1">
        <f t="array" aca="1" ref="B221:B223" ca="1">_xlfn.UNIQUE(Tabla1[[#All],[Criterios]])</f>
        <v>#NAME?</v>
      </c>
      <c r="C221" s="32"/>
      <c r="E221" t="s">
        <v>118</v>
      </c>
      <c r="F221" t="str">
        <f t="shared" si="0"/>
        <v xml:space="preserve">     El riesgo afecta la imagen de la entidad a nivel nacional, con efecto publicitarios sostenible a nivel país</v>
      </c>
    </row>
    <row r="222" spans="1:8" x14ac:dyDescent="0.25">
      <c r="A222" s="83"/>
      <c r="B222" s="32" t="e">
        <f ca="1"/>
        <v>#NAME?</v>
      </c>
      <c r="C222" s="32"/>
    </row>
    <row r="223" spans="1:8" x14ac:dyDescent="0.25">
      <c r="B223" s="32" t="e">
        <f ca="1"/>
        <v>#NAME?</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xr:uid="{00000000-0002-0000-0900-000000000000}">
      <formula1>$F$210:$F$221</formula1>
    </dataValidation>
  </dataValidation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BP72"/>
  <sheetViews>
    <sheetView topLeftCell="L9" zoomScale="55" zoomScaleNormal="55" workbookViewId="0">
      <selection activeCell="AI10" sqref="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323</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324</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333</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132</v>
      </c>
      <c r="C10" s="191" t="s">
        <v>226</v>
      </c>
      <c r="D10" s="191" t="s">
        <v>227</v>
      </c>
      <c r="E10" s="215" t="s">
        <v>421</v>
      </c>
      <c r="F10" s="191" t="s">
        <v>123</v>
      </c>
      <c r="G10" s="194">
        <v>24</v>
      </c>
      <c r="H10" s="203" t="str">
        <f>IF(G10&lt;=0,"",IF(G10&lt;=2,"Muy Baja",IF(G10&lt;=24,"Baja",IF(G10&lt;=500,"Media",IF(G10&lt;=5000,"Alta","Muy Alta")))))</f>
        <v>Baja</v>
      </c>
      <c r="I10" s="206">
        <f>IF(H10="","",IF(H10="Muy Baja",0.2,IF(H10="Baja",0.4,IF(H10="Media",0.6,IF(H10="Alta",0.8,IF(H10="Muy Alta",1,))))))</f>
        <v>0.4</v>
      </c>
      <c r="J10" s="209" t="s">
        <v>155</v>
      </c>
      <c r="K10" s="206"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03"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06">
        <f ca="1">IF(L10="","",IF(L10="Leve",0.2,IF(L10="Menor",0.4,IF(L10="Moderado",0.6,IF(L10="Mayor",0.8,IF(L10="Catastrófico",1,))))))</f>
        <v>0.6</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375</v>
      </c>
      <c r="AF10" s="133" t="s">
        <v>265</v>
      </c>
      <c r="AG10" s="135">
        <v>45291</v>
      </c>
      <c r="AH10" s="135">
        <v>45271</v>
      </c>
      <c r="AI10" s="133" t="s">
        <v>422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2</v>
      </c>
      <c r="P11" s="136" t="s">
        <v>299</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Moderado</v>
      </c>
      <c r="AB11" s="130">
        <f ca="1">IFERROR(IF(AND(Q10="Impacto",Q11="Impacto"),(AB10-(+AB10*T11)),IF(Q11="Impacto",($M$10-(+$M$10*T11)),IF(Q11="Probabilidad",AB10,""))),"")</f>
        <v>0.44999999999999996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266</v>
      </c>
      <c r="AF11" s="133" t="s">
        <v>265</v>
      </c>
      <c r="AG11" s="135">
        <v>45291</v>
      </c>
      <c r="AH11" s="135">
        <v>45271</v>
      </c>
      <c r="AI11" s="133" t="s">
        <v>429</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4"/>
      <c r="B15" s="193"/>
      <c r="C15" s="193"/>
      <c r="D15" s="193"/>
      <c r="E15" s="217"/>
      <c r="F15" s="193"/>
      <c r="G15" s="196"/>
      <c r="H15" s="205"/>
      <c r="I15" s="208"/>
      <c r="J15" s="211"/>
      <c r="K15" s="208">
        <f ca="1">IF(NOT(ISERROR(MATCH(J15,_xlfn.ANCHORARRAY(E26),0))),I28&amp;"Por favor no seleccionar los criterios de impacto",J15)</f>
        <v>0</v>
      </c>
      <c r="L15" s="205"/>
      <c r="M15" s="208"/>
      <c r="N15" s="199"/>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2">
        <v>2</v>
      </c>
      <c r="B16" s="191" t="s">
        <v>132</v>
      </c>
      <c r="C16" s="191" t="s">
        <v>215</v>
      </c>
      <c r="D16" s="191" t="s">
        <v>217</v>
      </c>
      <c r="E16" s="215" t="s">
        <v>216</v>
      </c>
      <c r="F16" s="191" t="s">
        <v>123</v>
      </c>
      <c r="G16" s="194">
        <v>12</v>
      </c>
      <c r="H16" s="203" t="str">
        <f>IF(G16&lt;=0,"",IF(G16&lt;=2,"Muy Baja",IF(G16&lt;=24,"Baja",IF(G16&lt;=500,"Media",IF(G16&lt;=5000,"Alta","Muy Alta")))))</f>
        <v>Baja</v>
      </c>
      <c r="I16" s="206">
        <f>IF(H16="","",IF(H16="Muy Baja",0.2,IF(H16="Baja",0.4,IF(H16="Media",0.6,IF(H16="Alta",0.8,IF(H16="Muy Alta",1,))))))</f>
        <v>0.4</v>
      </c>
      <c r="J16" s="209" t="s">
        <v>155</v>
      </c>
      <c r="K16" s="206" t="str">
        <f ca="1">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203" t="str">
        <f ca="1">IF(OR(K16='Tabla Impacto'!$C$11,K16='Tabla Impacto'!$D$11),"Leve",IF(OR(K16='Tabla Impacto'!$C$12,K16='Tabla Impacto'!$D$12),"Menor",IF(OR(K16='Tabla Impacto'!$C$13,K16='Tabla Impacto'!$D$13),"Moderado",IF(OR(K16='Tabla Impacto'!$C$14,K16='Tabla Impacto'!$D$14),"Mayor",IF(OR(K16='Tabla Impacto'!$C$15,K16='Tabla Impacto'!$D$15),"Catastrófico","")))))</f>
        <v>Moderado</v>
      </c>
      <c r="M16" s="206">
        <f ca="1">IF(L16="","",IF(L16="Leve",0.2,IF(L16="Menor",0.4,IF(L16="Moderado",0.6,IF(L16="Mayor",0.8,IF(L16="Catastrófico",1,))))))</f>
        <v>0.6</v>
      </c>
      <c r="N16" s="19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3">
        <v>1</v>
      </c>
      <c r="P16" s="124" t="s">
        <v>219</v>
      </c>
      <c r="Q16" s="125" t="str">
        <f>IF(OR(R16="Preventivo",R16="Detectivo"),"Probabilidad",IF(R16="Correctivo","Impacto",""))</f>
        <v>Probabilidad</v>
      </c>
      <c r="R16" s="126" t="s">
        <v>14</v>
      </c>
      <c r="S16" s="126" t="s">
        <v>9</v>
      </c>
      <c r="T16" s="127" t="str">
        <f>IF(AND(R16="Preventivo",S16="Automático"),"50%",IF(AND(R16="Preventivo",S16="Manual"),"40%",IF(AND(R16="Detectivo",S16="Automático"),"40%",IF(AND(R16="Detectivo",S16="Manual"),"30%",IF(AND(R16="Correctivo",S16="Automático"),"35%",IF(AND(R16="Correctivo",S16="Manual"),"25%",""))))))</f>
        <v>40%</v>
      </c>
      <c r="U16" s="126" t="s">
        <v>19</v>
      </c>
      <c r="V16" s="126" t="s">
        <v>22</v>
      </c>
      <c r="W16" s="126" t="s">
        <v>119</v>
      </c>
      <c r="X16" s="128">
        <f>IFERROR(IF(Q16="Probabilidad",(I16-(+I16*T16)),IF(Q16="Impacto",I16,"")),"")</f>
        <v>0.24</v>
      </c>
      <c r="Y16" s="129" t="str">
        <f>IFERROR(IF(X16="","",IF(X16&lt;=0.2,"Muy Baja",IF(X16&lt;=0.4,"Baja",IF(X16&lt;=0.6,"Media",IF(X16&lt;=0.8,"Alta","Muy Alta"))))),"")</f>
        <v>Baja</v>
      </c>
      <c r="Z16" s="130">
        <f>+X16</f>
        <v>0.24</v>
      </c>
      <c r="AA16" s="129" t="str">
        <f ca="1">IFERROR(IF(AB16="","",IF(AB16&lt;=0.2,"Leve",IF(AB16&lt;=0.4,"Menor",IF(AB16&lt;=0.6,"Moderado",IF(AB16&lt;=0.8,"Mayor","Catastrófico"))))),"")</f>
        <v>Moderado</v>
      </c>
      <c r="AB16" s="130">
        <f ca="1">IFERROR(IF(Q16="Impacto",(M16-(+M16*T16)),IF(Q16="Probabilidad",M16,"")),"")</f>
        <v>0.6</v>
      </c>
      <c r="AC16" s="131" t="str">
        <f ca="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2" t="s">
        <v>136</v>
      </c>
      <c r="AE16" s="133" t="s">
        <v>220</v>
      </c>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192"/>
      <c r="E17" s="216"/>
      <c r="F17" s="192"/>
      <c r="G17" s="195"/>
      <c r="H17" s="204"/>
      <c r="I17" s="207"/>
      <c r="J17" s="210"/>
      <c r="K17" s="207">
        <f ca="1">IF(NOT(ISERROR(MATCH(J17,_xlfn.ANCHORARRAY(E28),0))),I30&amp;"Por favor no seleccionar los criterios de impacto",J17)</f>
        <v>0</v>
      </c>
      <c r="L17" s="204"/>
      <c r="M17" s="207"/>
      <c r="N17" s="198"/>
      <c r="O17" s="123">
        <v>2</v>
      </c>
      <c r="P17" s="124" t="s">
        <v>218</v>
      </c>
      <c r="Q17" s="125" t="str">
        <f>IF(OR(R17="Preventivo",R17="Detectivo"),"Probabilidad",IF(R17="Correctivo","Impacto",""))</f>
        <v>Impacto</v>
      </c>
      <c r="R17" s="126" t="s">
        <v>16</v>
      </c>
      <c r="S17" s="126" t="s">
        <v>9</v>
      </c>
      <c r="T17" s="127" t="str">
        <f t="shared" ref="T17:T21" si="8">IF(AND(R17="Preventivo",S17="Automático"),"50%",IF(AND(R17="Preventivo",S17="Manual"),"40%",IF(AND(R17="Detectivo",S17="Automático"),"40%",IF(AND(R17="Detectivo",S17="Manual"),"30%",IF(AND(R17="Correctivo",S17="Automático"),"35%",IF(AND(R17="Correctivo",S17="Manual"),"25%",""))))))</f>
        <v>25%</v>
      </c>
      <c r="U17" s="126" t="s">
        <v>19</v>
      </c>
      <c r="V17" s="126" t="s">
        <v>23</v>
      </c>
      <c r="W17" s="126" t="s">
        <v>119</v>
      </c>
      <c r="X17" s="128">
        <f>IFERROR(IF(AND(Q16="Probabilidad",Q17="Probabilidad"),(Z16-(+Z16*T17)),IF(Q17="Probabilidad",(I16-(+I16*T17)),IF(Q17="Impacto",Z16,""))),"")</f>
        <v>0.24</v>
      </c>
      <c r="Y17" s="129" t="str">
        <f t="shared" si="1"/>
        <v>Baja</v>
      </c>
      <c r="Z17" s="130">
        <f t="shared" ref="Z17:Z21" si="9">+X17</f>
        <v>0.24</v>
      </c>
      <c r="AA17" s="129" t="str">
        <f t="shared" ca="1" si="3"/>
        <v>Moderado</v>
      </c>
      <c r="AB17" s="130">
        <f ca="1">IFERROR(IF(AND(Q16="Impacto",Q17="Impacto"),(AB10-(+AB10*T17)),IF(Q17="Impacto",($M$16-(+$M$16*T17)),IF(Q17="Probabilidad",AB10,""))),"")</f>
        <v>0.44999999999999996</v>
      </c>
      <c r="AC17" s="131" t="str">
        <f t="shared" ref="AC17:AC18" ca="1"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2" t="s">
        <v>136</v>
      </c>
      <c r="AE17" s="133" t="s">
        <v>214</v>
      </c>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192"/>
      <c r="E18" s="216"/>
      <c r="F18" s="192"/>
      <c r="G18" s="195"/>
      <c r="H18" s="204"/>
      <c r="I18" s="207"/>
      <c r="J18" s="210"/>
      <c r="K18" s="207">
        <f ca="1">IF(NOT(ISERROR(MATCH(J18,_xlfn.ANCHORARRAY(E29),0))),I31&amp;"Por favor no seleccionar los criterios de impacto",J18)</f>
        <v>0</v>
      </c>
      <c r="L18" s="204"/>
      <c r="M18" s="207"/>
      <c r="N18" s="198"/>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192"/>
      <c r="E19" s="216"/>
      <c r="F19" s="192"/>
      <c r="G19" s="195"/>
      <c r="H19" s="204"/>
      <c r="I19" s="207"/>
      <c r="J19" s="210"/>
      <c r="K19" s="207">
        <f ca="1">IF(NOT(ISERROR(MATCH(J19,_xlfn.ANCHORARRAY(E30),0))),I32&amp;"Por favor no seleccionar los criterios de impacto",J19)</f>
        <v>0</v>
      </c>
      <c r="L19" s="204"/>
      <c r="M19" s="207"/>
      <c r="N19" s="198"/>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192"/>
      <c r="E20" s="216"/>
      <c r="F20" s="192"/>
      <c r="G20" s="195"/>
      <c r="H20" s="204"/>
      <c r="I20" s="207"/>
      <c r="J20" s="210"/>
      <c r="K20" s="207">
        <f ca="1">IF(NOT(ISERROR(MATCH(J20,_xlfn.ANCHORARRAY(E31),0))),I33&amp;"Por favor no seleccionar los criterios de impacto",J20)</f>
        <v>0</v>
      </c>
      <c r="L20" s="204"/>
      <c r="M20" s="207"/>
      <c r="N20" s="198"/>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4"/>
      <c r="B21" s="193"/>
      <c r="C21" s="193"/>
      <c r="D21" s="193"/>
      <c r="E21" s="217"/>
      <c r="F21" s="193"/>
      <c r="G21" s="196"/>
      <c r="H21" s="205"/>
      <c r="I21" s="208"/>
      <c r="J21" s="211"/>
      <c r="K21" s="208">
        <f ca="1">IF(NOT(ISERROR(MATCH(J21,_xlfn.ANCHORARRAY(E32),0))),I34&amp;"Por favor no seleccionar los criterios de impacto",J21)</f>
        <v>0</v>
      </c>
      <c r="L21" s="205"/>
      <c r="M21" s="208"/>
      <c r="N21" s="199"/>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2">
        <v>3</v>
      </c>
      <c r="B22" s="191"/>
      <c r="C22" s="191"/>
      <c r="D22" s="191"/>
      <c r="E22" s="215"/>
      <c r="F22" s="191"/>
      <c r="G22" s="194"/>
      <c r="H22" s="203" t="str">
        <f>IF(G22&lt;=0,"",IF(G22&lt;=2,"Muy Baja",IF(G22&lt;=24,"Baja",IF(G22&lt;=500,"Media",IF(G22&lt;=5000,"Alta","Muy Alta")))))</f>
        <v/>
      </c>
      <c r="I22" s="206" t="str">
        <f>IF(H22="","",IF(H22="Muy Baja",0.2,IF(H22="Baja",0.4,IF(H22="Media",0.6,IF(H22="Alta",0.8,IF(H22="Muy Alta",1,))))))</f>
        <v/>
      </c>
      <c r="J22" s="209"/>
      <c r="K22" s="206">
        <f ca="1">IF(NOT(ISERROR(MATCH(J22,'Tabla Impacto'!$B$221:$B$223,0))),'Tabla Impacto'!$F$223&amp;"Por favor no seleccionar los criterios de impacto(Afectación Económica o presupuestal y Pérdida Reputacional)",J22)</f>
        <v>0</v>
      </c>
      <c r="L22" s="203" t="str">
        <f ca="1">IF(OR(K22='Tabla Impacto'!$C$11,K22='Tabla Impacto'!$D$11),"Leve",IF(OR(K22='Tabla Impacto'!$C$12,K22='Tabla Impacto'!$D$12),"Menor",IF(OR(K22='Tabla Impacto'!$C$13,K22='Tabla Impacto'!$D$13),"Moderado",IF(OR(K22='Tabla Impacto'!$C$14,K22='Tabla Impacto'!$D$14),"Mayor",IF(OR(K22='Tabla Impacto'!$C$15,K22='Tabla Impacto'!$D$15),"Catastrófico","")))))</f>
        <v/>
      </c>
      <c r="M22" s="206" t="str">
        <f ca="1">IF(L22="","",IF(L22="Leve",0.2,IF(L22="Menor",0.4,IF(L22="Moderado",0.6,IF(L22="Mayor",0.8,IF(L22="Catastrófico",1,))))))</f>
        <v/>
      </c>
      <c r="N22" s="19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ref="K23:K27" ca="1" si="15">IF(NOT(ISERROR(MATCH(J23,_xlfn.ANCHORARRAY(E34),0))),I36&amp;"Por favor no seleccionar los criterios de impacto",J23)</f>
        <v>0</v>
      </c>
      <c r="L23" s="204"/>
      <c r="M23" s="207"/>
      <c r="N23" s="198"/>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15"/>
        <v>0</v>
      </c>
      <c r="L26" s="204"/>
      <c r="M26" s="207"/>
      <c r="N26" s="198"/>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4"/>
      <c r="B27" s="193"/>
      <c r="C27" s="193"/>
      <c r="D27" s="193"/>
      <c r="E27" s="217"/>
      <c r="F27" s="193"/>
      <c r="G27" s="196"/>
      <c r="H27" s="205"/>
      <c r="I27" s="208"/>
      <c r="J27" s="211"/>
      <c r="K27" s="208">
        <f t="shared" ca="1" si="15"/>
        <v>0</v>
      </c>
      <c r="L27" s="205"/>
      <c r="M27" s="208"/>
      <c r="N27" s="199"/>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2">
        <v>4</v>
      </c>
      <c r="B28" s="191"/>
      <c r="C28" s="191"/>
      <c r="D28" s="191"/>
      <c r="E28" s="215"/>
      <c r="F28" s="191"/>
      <c r="G28" s="194"/>
      <c r="H28" s="203" t="str">
        <f>IF(G28&lt;=0,"",IF(G28&lt;=2,"Muy Baja",IF(G28&lt;=24,"Baja",IF(G28&lt;=500,"Media",IF(G28&lt;=5000,"Alta","Muy Alta")))))</f>
        <v/>
      </c>
      <c r="I28" s="206" t="str">
        <f>IF(H28="","",IF(H28="Muy Baja",0.2,IF(H28="Baja",0.4,IF(H28="Media",0.6,IF(H28="Alta",0.8,IF(H28="Muy Alta",1,))))))</f>
        <v/>
      </c>
      <c r="J28" s="209"/>
      <c r="K28" s="206">
        <f ca="1">IF(NOT(ISERROR(MATCH(J28,'Tabla Impacto'!$B$221:$B$223,0))),'Tabla Impacto'!$F$223&amp;"Por favor no seleccionar los criterios de impacto(Afectación Económica o presupuestal y Pérdida Reputacional)",J28)</f>
        <v>0</v>
      </c>
      <c r="L28" s="203" t="str">
        <f ca="1">IF(OR(K28='Tabla Impacto'!$C$11,K28='Tabla Impacto'!$D$11),"Leve",IF(OR(K28='Tabla Impacto'!$C$12,K28='Tabla Impacto'!$D$12),"Menor",IF(OR(K28='Tabla Impacto'!$C$13,K28='Tabla Impacto'!$D$13),"Moderado",IF(OR(K28='Tabla Impacto'!$C$14,K28='Tabla Impacto'!$D$14),"Mayor",IF(OR(K28='Tabla Impacto'!$C$15,K28='Tabla Impacto'!$D$15),"Catastrófico","")))))</f>
        <v/>
      </c>
      <c r="M28" s="206" t="str">
        <f ca="1">IF(L28="","",IF(L28="Leve",0.2,IF(L28="Menor",0.4,IF(L28="Moderado",0.6,IF(L28="Mayor",0.8,IF(L28="Catastrófico",1,))))))</f>
        <v/>
      </c>
      <c r="N28" s="19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ref="K29:K33" ca="1" si="23">IF(NOT(ISERROR(MATCH(J29,_xlfn.ANCHORARRAY(E40),0))),I42&amp;"Por favor no seleccionar los criterios de impacto",J29)</f>
        <v>0</v>
      </c>
      <c r="L29" s="204"/>
      <c r="M29" s="207"/>
      <c r="N29" s="198"/>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3"/>
        <v>0</v>
      </c>
      <c r="L32" s="204"/>
      <c r="M32" s="207"/>
      <c r="N32" s="198"/>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4"/>
      <c r="B33" s="193"/>
      <c r="C33" s="193"/>
      <c r="D33" s="193"/>
      <c r="E33" s="217"/>
      <c r="F33" s="193"/>
      <c r="G33" s="196"/>
      <c r="H33" s="205"/>
      <c r="I33" s="208"/>
      <c r="J33" s="211"/>
      <c r="K33" s="208">
        <f t="shared" ca="1" si="23"/>
        <v>0</v>
      </c>
      <c r="L33" s="205"/>
      <c r="M33" s="208"/>
      <c r="N33" s="199"/>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2">
        <v>5</v>
      </c>
      <c r="B34" s="191"/>
      <c r="C34" s="191"/>
      <c r="D34" s="191"/>
      <c r="E34" s="215"/>
      <c r="F34" s="191"/>
      <c r="G34" s="194"/>
      <c r="H34" s="203" t="str">
        <f>IF(G34&lt;=0,"",IF(G34&lt;=2,"Muy Baja",IF(G34&lt;=24,"Baja",IF(G34&lt;=500,"Media",IF(G34&lt;=5000,"Alta","Muy Alta")))))</f>
        <v/>
      </c>
      <c r="I34" s="206" t="str">
        <f>IF(H34="","",IF(H34="Muy Baja",0.2,IF(H34="Baja",0.4,IF(H34="Media",0.6,IF(H34="Alta",0.8,IF(H34="Muy Alta",1,))))))</f>
        <v/>
      </c>
      <c r="J34" s="209"/>
      <c r="K34" s="206">
        <f ca="1">IF(NOT(ISERROR(MATCH(J34,'Tabla Impacto'!$B$221:$B$223,0))),'Tabla Impacto'!$F$223&amp;"Por favor no seleccionar los criterios de impacto(Afectación Económica o presupuestal y Pérdida Reputacional)",J34)</f>
        <v>0</v>
      </c>
      <c r="L34" s="203" t="str">
        <f ca="1">IF(OR(K34='Tabla Impacto'!$C$11,K34='Tabla Impacto'!$D$11),"Leve",IF(OR(K34='Tabla Impacto'!$C$12,K34='Tabla Impacto'!$D$12),"Menor",IF(OR(K34='Tabla Impacto'!$C$13,K34='Tabla Impacto'!$D$13),"Moderado",IF(OR(K34='Tabla Impacto'!$C$14,K34='Tabla Impacto'!$D$14),"Mayor",IF(OR(K34='Tabla Impacto'!$C$15,K34='Tabla Impacto'!$D$15),"Catastrófico","")))))</f>
        <v/>
      </c>
      <c r="M34" s="206" t="str">
        <f ca="1">IF(L34="","",IF(L34="Leve",0.2,IF(L34="Menor",0.4,IF(L34="Moderado",0.6,IF(L34="Mayor",0.8,IF(L34="Catastrófico",1,))))))</f>
        <v/>
      </c>
      <c r="N34" s="19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ref="K35:K39" ca="1" si="31">IF(NOT(ISERROR(MATCH(J35,_xlfn.ANCHORARRAY(E46),0))),I48&amp;"Por favor no seleccionar los criterios de impacto",J35)</f>
        <v>0</v>
      </c>
      <c r="L35" s="204"/>
      <c r="M35" s="207"/>
      <c r="N35" s="198"/>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1"/>
        <v>0</v>
      </c>
      <c r="L38" s="204"/>
      <c r="M38" s="207"/>
      <c r="N38" s="198"/>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4"/>
      <c r="B39" s="193"/>
      <c r="C39" s="193"/>
      <c r="D39" s="193"/>
      <c r="E39" s="217"/>
      <c r="F39" s="193"/>
      <c r="G39" s="196"/>
      <c r="H39" s="205"/>
      <c r="I39" s="208"/>
      <c r="J39" s="211"/>
      <c r="K39" s="208">
        <f t="shared" ca="1" si="31"/>
        <v>0</v>
      </c>
      <c r="L39" s="205"/>
      <c r="M39" s="208"/>
      <c r="N39" s="199"/>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2">
        <v>6</v>
      </c>
      <c r="B40" s="191"/>
      <c r="C40" s="191"/>
      <c r="D40" s="191"/>
      <c r="E40" s="215"/>
      <c r="F40" s="191"/>
      <c r="G40" s="194"/>
      <c r="H40" s="203" t="str">
        <f>IF(G40&lt;=0,"",IF(G40&lt;=2,"Muy Baja",IF(G40&lt;=24,"Baja",IF(G40&lt;=500,"Media",IF(G40&lt;=5000,"Alta","Muy Alta")))))</f>
        <v/>
      </c>
      <c r="I40" s="206" t="str">
        <f>IF(H40="","",IF(H40="Muy Baja",0.2,IF(H40="Baja",0.4,IF(H40="Media",0.6,IF(H40="Alta",0.8,IF(H40="Muy Alta",1,))))))</f>
        <v/>
      </c>
      <c r="J40" s="209"/>
      <c r="K40" s="206">
        <f ca="1">IF(NOT(ISERROR(MATCH(J40,'Tabla Impacto'!$B$221:$B$223,0))),'Tabla Impacto'!$F$223&amp;"Por favor no seleccionar los criterios de impacto(Afectación Económica o presupuestal y Pérdida Reputacional)",J40)</f>
        <v>0</v>
      </c>
      <c r="L40" s="203" t="str">
        <f ca="1">IF(OR(K40='Tabla Impacto'!$C$11,K40='Tabla Impacto'!$D$11),"Leve",IF(OR(K40='Tabla Impacto'!$C$12,K40='Tabla Impacto'!$D$12),"Menor",IF(OR(K40='Tabla Impacto'!$C$13,K40='Tabla Impacto'!$D$13),"Moderado",IF(OR(K40='Tabla Impacto'!$C$14,K40='Tabla Impacto'!$D$14),"Mayor",IF(OR(K40='Tabla Impacto'!$C$15,K40='Tabla Impacto'!$D$15),"Catastrófico","")))))</f>
        <v/>
      </c>
      <c r="M40" s="206" t="str">
        <f ca="1">IF(L40="","",IF(L40="Leve",0.2,IF(L40="Menor",0.4,IF(L40="Moderado",0.6,IF(L40="Mayor",0.8,IF(L40="Catastrófico",1,))))))</f>
        <v/>
      </c>
      <c r="N40" s="19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ref="K41:K45" ca="1" si="39">IF(NOT(ISERROR(MATCH(J41,_xlfn.ANCHORARRAY(E52),0))),I54&amp;"Por favor no seleccionar los criterios de impacto",J41)</f>
        <v>0</v>
      </c>
      <c r="L41" s="204"/>
      <c r="M41" s="207"/>
      <c r="N41" s="198"/>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39"/>
        <v>0</v>
      </c>
      <c r="L44" s="204"/>
      <c r="M44" s="207"/>
      <c r="N44" s="198"/>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4"/>
      <c r="B45" s="193"/>
      <c r="C45" s="193"/>
      <c r="D45" s="193"/>
      <c r="E45" s="217"/>
      <c r="F45" s="193"/>
      <c r="G45" s="196"/>
      <c r="H45" s="205"/>
      <c r="I45" s="208"/>
      <c r="J45" s="211"/>
      <c r="K45" s="208">
        <f t="shared" ca="1" si="39"/>
        <v>0</v>
      </c>
      <c r="L45" s="205"/>
      <c r="M45" s="208"/>
      <c r="N45" s="199"/>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2">
        <v>7</v>
      </c>
      <c r="B46" s="191"/>
      <c r="C46" s="191"/>
      <c r="D46" s="191"/>
      <c r="E46" s="215"/>
      <c r="F46" s="191"/>
      <c r="G46" s="194"/>
      <c r="H46" s="203" t="str">
        <f>IF(G46&lt;=0,"",IF(G46&lt;=2,"Muy Baja",IF(G46&lt;=24,"Baja",IF(G46&lt;=500,"Media",IF(G46&lt;=5000,"Alta","Muy Alta")))))</f>
        <v/>
      </c>
      <c r="I46" s="206" t="str">
        <f>IF(H46="","",IF(H46="Muy Baja",0.2,IF(H46="Baja",0.4,IF(H46="Media",0.6,IF(H46="Alta",0.8,IF(H46="Muy Alta",1,))))))</f>
        <v/>
      </c>
      <c r="J46" s="209"/>
      <c r="K46" s="206">
        <f ca="1">IF(NOT(ISERROR(MATCH(J46,'Tabla Impacto'!$B$221:$B$223,0))),'Tabla Impacto'!$F$223&amp;"Por favor no seleccionar los criterios de impacto(Afectación Económica o presupuestal y Pérdida Reputacional)",J46)</f>
        <v>0</v>
      </c>
      <c r="L46" s="203" t="str">
        <f ca="1">IF(OR(K46='Tabla Impacto'!$C$11,K46='Tabla Impacto'!$D$11),"Leve",IF(OR(K46='Tabla Impacto'!$C$12,K46='Tabla Impacto'!$D$12),"Menor",IF(OR(K46='Tabla Impacto'!$C$13,K46='Tabla Impacto'!$D$13),"Moderado",IF(OR(K46='Tabla Impacto'!$C$14,K46='Tabla Impacto'!$D$14),"Mayor",IF(OR(K46='Tabla Impacto'!$C$15,K46='Tabla Impacto'!$D$15),"Catastrófico","")))))</f>
        <v/>
      </c>
      <c r="M46" s="206" t="str">
        <f ca="1">IF(L46="","",IF(L46="Leve",0.2,IF(L46="Menor",0.4,IF(L46="Moderado",0.6,IF(L46="Mayor",0.8,IF(L46="Catastrófico",1,))))))</f>
        <v/>
      </c>
      <c r="N46" s="19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ref="K47:K51" ca="1" si="47">IF(NOT(ISERROR(MATCH(J47,_xlfn.ANCHORARRAY(E58),0))),I60&amp;"Por favor no seleccionar los criterios de impacto",J47)</f>
        <v>0</v>
      </c>
      <c r="L47" s="204"/>
      <c r="M47" s="207"/>
      <c r="N47" s="198"/>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t="shared" ca="1" si="47"/>
        <v>0</v>
      </c>
      <c r="L50" s="204"/>
      <c r="M50" s="207"/>
      <c r="N50" s="198"/>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4"/>
      <c r="B51" s="193"/>
      <c r="C51" s="193"/>
      <c r="D51" s="193"/>
      <c r="E51" s="217"/>
      <c r="F51" s="193"/>
      <c r="G51" s="196"/>
      <c r="H51" s="205"/>
      <c r="I51" s="208"/>
      <c r="J51" s="211"/>
      <c r="K51" s="208">
        <f t="shared" ca="1" si="47"/>
        <v>0</v>
      </c>
      <c r="L51" s="205"/>
      <c r="M51" s="208"/>
      <c r="N51" s="199"/>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2">
        <v>8</v>
      </c>
      <c r="B52" s="191"/>
      <c r="C52" s="191"/>
      <c r="D52" s="191"/>
      <c r="E52" s="215"/>
      <c r="F52" s="191"/>
      <c r="G52" s="194"/>
      <c r="H52" s="203" t="str">
        <f>IF(G52&lt;=0,"",IF(G52&lt;=2,"Muy Baja",IF(G52&lt;=24,"Baja",IF(G52&lt;=500,"Media",IF(G52&lt;=5000,"Alta","Muy Alta")))))</f>
        <v/>
      </c>
      <c r="I52" s="206" t="str">
        <f>IF(H52="","",IF(H52="Muy Baja",0.2,IF(H52="Baja",0.4,IF(H52="Media",0.6,IF(H52="Alta",0.8,IF(H52="Muy Alta",1,))))))</f>
        <v/>
      </c>
      <c r="J52" s="209"/>
      <c r="K52" s="206">
        <f ca="1">IF(NOT(ISERROR(MATCH(J52,'Tabla Impacto'!$B$221:$B$223,0))),'Tabla Impacto'!$F$223&amp;"Por favor no seleccionar los criterios de impacto(Afectación Económica o presupuestal y Pérdida Reputacional)",J52)</f>
        <v>0</v>
      </c>
      <c r="L52" s="203" t="str">
        <f ca="1">IF(OR(K52='Tabla Impacto'!$C$11,K52='Tabla Impacto'!$D$11),"Leve",IF(OR(K52='Tabla Impacto'!$C$12,K52='Tabla Impacto'!$D$12),"Menor",IF(OR(K52='Tabla Impacto'!$C$13,K52='Tabla Impacto'!$D$13),"Moderado",IF(OR(K52='Tabla Impacto'!$C$14,K52='Tabla Impacto'!$D$14),"Mayor",IF(OR(K52='Tabla Impacto'!$C$15,K52='Tabla Impacto'!$D$15),"Catastrófico","")))))</f>
        <v/>
      </c>
      <c r="M52" s="206" t="str">
        <f ca="1">IF(L52="","",IF(L52="Leve",0.2,IF(L52="Menor",0.4,IF(L52="Moderado",0.6,IF(L52="Mayor",0.8,IF(L52="Catastrófico",1,))))))</f>
        <v/>
      </c>
      <c r="N52" s="19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4"/>
      <c r="B57" s="193"/>
      <c r="C57" s="193"/>
      <c r="D57" s="193"/>
      <c r="E57" s="217"/>
      <c r="F57" s="193"/>
      <c r="G57" s="196"/>
      <c r="H57" s="205"/>
      <c r="I57" s="208"/>
      <c r="J57" s="211"/>
      <c r="K57" s="208">
        <f ca="1">IF(NOT(ISERROR(MATCH(J57,_xlfn.ANCHORARRAY(E68),0))),I70&amp;"Por favor no seleccionar los criterios de impacto",J57)</f>
        <v>0</v>
      </c>
      <c r="L57" s="205"/>
      <c r="M57" s="208"/>
      <c r="N57" s="199"/>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2">
        <v>9</v>
      </c>
      <c r="B58" s="191"/>
      <c r="C58" s="191"/>
      <c r="D58" s="191"/>
      <c r="E58" s="215"/>
      <c r="F58" s="191"/>
      <c r="G58" s="194"/>
      <c r="H58" s="203" t="str">
        <f>IF(G58&lt;=0,"",IF(G58&lt;=2,"Muy Baja",IF(G58&lt;=24,"Baja",IF(G58&lt;=500,"Media",IF(G58&lt;=5000,"Alta","Muy Alta")))))</f>
        <v/>
      </c>
      <c r="I58" s="206" t="str">
        <f>IF(H58="","",IF(H58="Muy Baja",0.2,IF(H58="Baja",0.4,IF(H58="Media",0.6,IF(H58="Alta",0.8,IF(H58="Muy Alta",1,))))))</f>
        <v/>
      </c>
      <c r="J58" s="209"/>
      <c r="K58" s="206">
        <f ca="1">IF(NOT(ISERROR(MATCH(J58,'Tabla Impacto'!$B$221:$B$223,0))),'Tabla Impacto'!$F$223&amp;"Por favor no seleccionar los criterios de impacto(Afectación Económica o presupuestal y Pérdida Reputacional)",J58)</f>
        <v>0</v>
      </c>
      <c r="L58" s="203" t="str">
        <f ca="1">IF(OR(K58='Tabla Impacto'!$C$11,K58='Tabla Impacto'!$D$11),"Leve",IF(OR(K58='Tabla Impacto'!$C$12,K58='Tabla Impacto'!$D$12),"Menor",IF(OR(K58='Tabla Impacto'!$C$13,K58='Tabla Impacto'!$D$13),"Moderado",IF(OR(K58='Tabla Impacto'!$C$14,K58='Tabla Impacto'!$D$14),"Mayor",IF(OR(K58='Tabla Impacto'!$C$15,K58='Tabla Impacto'!$D$15),"Catastrófico","")))))</f>
        <v/>
      </c>
      <c r="M58" s="206" t="str">
        <f ca="1">IF(L58="","",IF(L58="Leve",0.2,IF(L58="Menor",0.4,IF(L58="Moderado",0.6,IF(L58="Mayor",0.8,IF(L58="Catastrófico",1,))))))</f>
        <v/>
      </c>
      <c r="N58" s="19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4"/>
      <c r="B63" s="193"/>
      <c r="C63" s="193"/>
      <c r="D63" s="193"/>
      <c r="E63" s="217"/>
      <c r="F63" s="193"/>
      <c r="G63" s="196"/>
      <c r="H63" s="205"/>
      <c r="I63" s="208"/>
      <c r="J63" s="211"/>
      <c r="K63" s="208">
        <f ca="1">IF(NOT(ISERROR(MATCH(J63,_xlfn.ANCHORARRAY(E74),0))),I76&amp;"Por favor no seleccionar los criterios de impacto",J63)</f>
        <v>0</v>
      </c>
      <c r="L63" s="205"/>
      <c r="M63" s="208"/>
      <c r="N63" s="199"/>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2">
        <v>10</v>
      </c>
      <c r="B64" s="191"/>
      <c r="C64" s="191"/>
      <c r="D64" s="191"/>
      <c r="E64" s="215"/>
      <c r="F64" s="191"/>
      <c r="G64" s="194"/>
      <c r="H64" s="203" t="str">
        <f>IF(G64&lt;=0,"",IF(G64&lt;=2,"Muy Baja",IF(G64&lt;=24,"Baja",IF(G64&lt;=500,"Media",IF(G64&lt;=5000,"Alta","Muy Alta")))))</f>
        <v/>
      </c>
      <c r="I64" s="206" t="str">
        <f>IF(H64="","",IF(H64="Muy Baja",0.2,IF(H64="Baja",0.4,IF(H64="Media",0.6,IF(H64="Alta",0.8,IF(H64="Muy Alta",1,))))))</f>
        <v/>
      </c>
      <c r="J64" s="209"/>
      <c r="K64" s="206">
        <f ca="1">IF(NOT(ISERROR(MATCH(J64,'Tabla Impacto'!$B$221:$B$223,0))),'Tabla Impacto'!$F$223&amp;"Por favor no seleccionar los criterios de impacto(Afectación Económica o presupuestal y Pérdida Reputacional)",J64)</f>
        <v>0</v>
      </c>
      <c r="L64" s="203" t="str">
        <f ca="1">IF(OR(K64='Tabla Impacto'!$C$11,K64='Tabla Impacto'!$D$11),"Leve",IF(OR(K64='Tabla Impacto'!$C$12,K64='Tabla Impacto'!$D$12),"Menor",IF(OR(K64='Tabla Impacto'!$C$13,K64='Tabla Impacto'!$D$13),"Moderado",IF(OR(K64='Tabla Impacto'!$C$14,K64='Tabla Impacto'!$D$14),"Mayor",IF(OR(K64='Tabla Impacto'!$C$15,K64='Tabla Impacto'!$D$15),"Catastrófico","")))))</f>
        <v/>
      </c>
      <c r="M64" s="206" t="str">
        <f ca="1">IF(L64="","",IF(L64="Leve",0.2,IF(L64="Menor",0.4,IF(L64="Moderado",0.6,IF(L64="Mayor",0.8,IF(L64="Catastrófico",1,))))))</f>
        <v/>
      </c>
      <c r="N64" s="19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3"/>
      <c r="B68" s="192"/>
      <c r="C68" s="192"/>
      <c r="D68" s="192"/>
      <c r="E68" s="216"/>
      <c r="F68" s="192"/>
      <c r="G68" s="195"/>
      <c r="H68" s="204"/>
      <c r="I68" s="207"/>
      <c r="J68" s="210"/>
      <c r="K68" s="207">
        <f ca="1">IF(NOT(ISERROR(MATCH(J68,_xlfn.ANCHORARRAY(E79),0))),I81&amp;"Por favor no seleccionar los criterios de impacto",J68)</f>
        <v>0</v>
      </c>
      <c r="L68" s="204"/>
      <c r="M68" s="207"/>
      <c r="N68" s="198"/>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4"/>
      <c r="B69" s="193"/>
      <c r="C69" s="193"/>
      <c r="D69" s="193"/>
      <c r="E69" s="217"/>
      <c r="F69" s="193"/>
      <c r="G69" s="196"/>
      <c r="H69" s="205"/>
      <c r="I69" s="208"/>
      <c r="J69" s="211"/>
      <c r="K69" s="208">
        <f ca="1">IF(NOT(ISERROR(MATCH(J69,_xlfn.ANCHORARRAY(E80),0))),I82&amp;"Por favor no seleccionar los criterios de impacto",J69)</f>
        <v>0</v>
      </c>
      <c r="L69" s="205"/>
      <c r="M69" s="208"/>
      <c r="N69" s="199"/>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00" t="s">
        <v>131</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2"/>
    </row>
    <row r="72" spans="1:36" x14ac:dyDescent="0.3">
      <c r="A72" s="1"/>
      <c r="B72" s="24" t="s">
        <v>143</v>
      </c>
      <c r="C72" s="1"/>
      <c r="D72" s="1"/>
      <c r="F72"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428" priority="227" operator="equal">
      <formula>"Muy Alta"</formula>
    </cfRule>
    <cfRule type="cellIs" dxfId="1427" priority="228" operator="equal">
      <formula>"Alta"</formula>
    </cfRule>
    <cfRule type="cellIs" dxfId="1426" priority="229" operator="equal">
      <formula>"Media"</formula>
    </cfRule>
    <cfRule type="cellIs" dxfId="1425" priority="230" operator="equal">
      <formula>"Baja"</formula>
    </cfRule>
    <cfRule type="cellIs" dxfId="1424" priority="231" operator="equal">
      <formula>"Muy Baja"</formula>
    </cfRule>
  </conditionalFormatting>
  <conditionalFormatting sqref="H22">
    <cfRule type="cellIs" dxfId="1423" priority="181" operator="equal">
      <formula>"Muy Alta"</formula>
    </cfRule>
    <cfRule type="cellIs" dxfId="1422" priority="182" operator="equal">
      <formula>"Alta"</formula>
    </cfRule>
    <cfRule type="cellIs" dxfId="1421" priority="183" operator="equal">
      <formula>"Media"</formula>
    </cfRule>
    <cfRule type="cellIs" dxfId="1420" priority="184" operator="equal">
      <formula>"Baja"</formula>
    </cfRule>
    <cfRule type="cellIs" dxfId="1419" priority="185" operator="equal">
      <formula>"Muy Baja"</formula>
    </cfRule>
  </conditionalFormatting>
  <conditionalFormatting sqref="H28">
    <cfRule type="cellIs" dxfId="1418" priority="158" operator="equal">
      <formula>"Muy Alta"</formula>
    </cfRule>
    <cfRule type="cellIs" dxfId="1417" priority="159" operator="equal">
      <formula>"Alta"</formula>
    </cfRule>
    <cfRule type="cellIs" dxfId="1416" priority="160" operator="equal">
      <formula>"Media"</formula>
    </cfRule>
    <cfRule type="cellIs" dxfId="1415" priority="161" operator="equal">
      <formula>"Baja"</formula>
    </cfRule>
    <cfRule type="cellIs" dxfId="1414" priority="162" operator="equal">
      <formula>"Muy Baja"</formula>
    </cfRule>
  </conditionalFormatting>
  <conditionalFormatting sqref="H34">
    <cfRule type="cellIs" dxfId="1413" priority="135" operator="equal">
      <formula>"Muy Alta"</formula>
    </cfRule>
    <cfRule type="cellIs" dxfId="1412" priority="136" operator="equal">
      <formula>"Alta"</formula>
    </cfRule>
    <cfRule type="cellIs" dxfId="1411" priority="137" operator="equal">
      <formula>"Media"</formula>
    </cfRule>
    <cfRule type="cellIs" dxfId="1410" priority="138" operator="equal">
      <formula>"Baja"</formula>
    </cfRule>
    <cfRule type="cellIs" dxfId="1409" priority="139" operator="equal">
      <formula>"Muy Baja"</formula>
    </cfRule>
  </conditionalFormatting>
  <conditionalFormatting sqref="H40">
    <cfRule type="cellIs" dxfId="1408" priority="112" operator="equal">
      <formula>"Muy Alta"</formula>
    </cfRule>
    <cfRule type="cellIs" dxfId="1407" priority="113" operator="equal">
      <formula>"Alta"</formula>
    </cfRule>
    <cfRule type="cellIs" dxfId="1406" priority="114" operator="equal">
      <formula>"Media"</formula>
    </cfRule>
    <cfRule type="cellIs" dxfId="1405" priority="115" operator="equal">
      <formula>"Baja"</formula>
    </cfRule>
    <cfRule type="cellIs" dxfId="1404" priority="116" operator="equal">
      <formula>"Muy Baja"</formula>
    </cfRule>
  </conditionalFormatting>
  <conditionalFormatting sqref="H46">
    <cfRule type="cellIs" dxfId="1403" priority="89" operator="equal">
      <formula>"Muy Alta"</formula>
    </cfRule>
    <cfRule type="cellIs" dxfId="1402" priority="90" operator="equal">
      <formula>"Alta"</formula>
    </cfRule>
    <cfRule type="cellIs" dxfId="1401" priority="91" operator="equal">
      <formula>"Media"</formula>
    </cfRule>
    <cfRule type="cellIs" dxfId="1400" priority="92" operator="equal">
      <formula>"Baja"</formula>
    </cfRule>
    <cfRule type="cellIs" dxfId="1399" priority="93" operator="equal">
      <formula>"Muy Baja"</formula>
    </cfRule>
  </conditionalFormatting>
  <conditionalFormatting sqref="H52">
    <cfRule type="cellIs" dxfId="1398" priority="66" operator="equal">
      <formula>"Muy Alta"</formula>
    </cfRule>
    <cfRule type="cellIs" dxfId="1397" priority="67" operator="equal">
      <formula>"Alta"</formula>
    </cfRule>
    <cfRule type="cellIs" dxfId="1396" priority="68" operator="equal">
      <formula>"Media"</formula>
    </cfRule>
    <cfRule type="cellIs" dxfId="1395" priority="69" operator="equal">
      <formula>"Baja"</formula>
    </cfRule>
    <cfRule type="cellIs" dxfId="1394" priority="70" operator="equal">
      <formula>"Muy Baja"</formula>
    </cfRule>
  </conditionalFormatting>
  <conditionalFormatting sqref="H58">
    <cfRule type="cellIs" dxfId="1393" priority="43" operator="equal">
      <formula>"Muy Alta"</formula>
    </cfRule>
    <cfRule type="cellIs" dxfId="1392" priority="44" operator="equal">
      <formula>"Alta"</formula>
    </cfRule>
    <cfRule type="cellIs" dxfId="1391" priority="45" operator="equal">
      <formula>"Media"</formula>
    </cfRule>
    <cfRule type="cellIs" dxfId="1390" priority="46" operator="equal">
      <formula>"Baja"</formula>
    </cfRule>
    <cfRule type="cellIs" dxfId="1389" priority="47" operator="equal">
      <formula>"Muy Baja"</formula>
    </cfRule>
  </conditionalFormatting>
  <conditionalFormatting sqref="H64">
    <cfRule type="cellIs" dxfId="1388" priority="20" operator="equal">
      <formula>"Muy Alta"</formula>
    </cfRule>
    <cfRule type="cellIs" dxfId="1387" priority="21" operator="equal">
      <formula>"Alta"</formula>
    </cfRule>
    <cfRule type="cellIs" dxfId="1386" priority="22" operator="equal">
      <formula>"Media"</formula>
    </cfRule>
    <cfRule type="cellIs" dxfId="1385" priority="23" operator="equal">
      <formula>"Baja"</formula>
    </cfRule>
    <cfRule type="cellIs" dxfId="1384" priority="24" operator="equal">
      <formula>"Muy Baja"</formula>
    </cfRule>
  </conditionalFormatting>
  <conditionalFormatting sqref="K10:K69">
    <cfRule type="containsText" dxfId="1383" priority="1" operator="containsText" text="❌">
      <formula>NOT(ISERROR(SEARCH("❌",K10)))</formula>
    </cfRule>
  </conditionalFormatting>
  <conditionalFormatting sqref="L10 L16 L22 L28 L34 L40 L46 L52 L58 L64">
    <cfRule type="cellIs" dxfId="1382" priority="222" operator="equal">
      <formula>"Catastrófico"</formula>
    </cfRule>
    <cfRule type="cellIs" dxfId="1381" priority="223" operator="equal">
      <formula>"Mayor"</formula>
    </cfRule>
    <cfRule type="cellIs" dxfId="1380" priority="224" operator="equal">
      <formula>"Moderado"</formula>
    </cfRule>
    <cfRule type="cellIs" dxfId="1379" priority="225" operator="equal">
      <formula>"Menor"</formula>
    </cfRule>
    <cfRule type="cellIs" dxfId="1378" priority="226" operator="equal">
      <formula>"Leve"</formula>
    </cfRule>
  </conditionalFormatting>
  <conditionalFormatting sqref="N10">
    <cfRule type="cellIs" dxfId="1377" priority="218" operator="equal">
      <formula>"Extremo"</formula>
    </cfRule>
    <cfRule type="cellIs" dxfId="1376" priority="219" operator="equal">
      <formula>"Alto"</formula>
    </cfRule>
    <cfRule type="cellIs" dxfId="1375" priority="220" operator="equal">
      <formula>"Moderado"</formula>
    </cfRule>
    <cfRule type="cellIs" dxfId="1374" priority="221" operator="equal">
      <formula>"Bajo"</formula>
    </cfRule>
  </conditionalFormatting>
  <conditionalFormatting sqref="N16">
    <cfRule type="cellIs" dxfId="1373" priority="200" operator="equal">
      <formula>"Extremo"</formula>
    </cfRule>
    <cfRule type="cellIs" dxfId="1372" priority="201" operator="equal">
      <formula>"Alto"</formula>
    </cfRule>
    <cfRule type="cellIs" dxfId="1371" priority="202" operator="equal">
      <formula>"Moderado"</formula>
    </cfRule>
    <cfRule type="cellIs" dxfId="1370" priority="203" operator="equal">
      <formula>"Bajo"</formula>
    </cfRule>
  </conditionalFormatting>
  <conditionalFormatting sqref="N22">
    <cfRule type="cellIs" dxfId="1369" priority="177" operator="equal">
      <formula>"Extremo"</formula>
    </cfRule>
    <cfRule type="cellIs" dxfId="1368" priority="178" operator="equal">
      <formula>"Alto"</formula>
    </cfRule>
    <cfRule type="cellIs" dxfId="1367" priority="179" operator="equal">
      <formula>"Moderado"</formula>
    </cfRule>
    <cfRule type="cellIs" dxfId="1366" priority="180" operator="equal">
      <formula>"Bajo"</formula>
    </cfRule>
  </conditionalFormatting>
  <conditionalFormatting sqref="N28">
    <cfRule type="cellIs" dxfId="1365" priority="154" operator="equal">
      <formula>"Extremo"</formula>
    </cfRule>
    <cfRule type="cellIs" dxfId="1364" priority="155" operator="equal">
      <formula>"Alto"</formula>
    </cfRule>
    <cfRule type="cellIs" dxfId="1363" priority="156" operator="equal">
      <formula>"Moderado"</formula>
    </cfRule>
    <cfRule type="cellIs" dxfId="1362" priority="157" operator="equal">
      <formula>"Bajo"</formula>
    </cfRule>
  </conditionalFormatting>
  <conditionalFormatting sqref="N34">
    <cfRule type="cellIs" dxfId="1361" priority="131" operator="equal">
      <formula>"Extremo"</formula>
    </cfRule>
    <cfRule type="cellIs" dxfId="1360" priority="132" operator="equal">
      <formula>"Alto"</formula>
    </cfRule>
    <cfRule type="cellIs" dxfId="1359" priority="133" operator="equal">
      <formula>"Moderado"</formula>
    </cfRule>
    <cfRule type="cellIs" dxfId="1358" priority="134" operator="equal">
      <formula>"Bajo"</formula>
    </cfRule>
  </conditionalFormatting>
  <conditionalFormatting sqref="N40">
    <cfRule type="cellIs" dxfId="1357" priority="108" operator="equal">
      <formula>"Extremo"</formula>
    </cfRule>
    <cfRule type="cellIs" dxfId="1356" priority="109" operator="equal">
      <formula>"Alto"</formula>
    </cfRule>
    <cfRule type="cellIs" dxfId="1355" priority="110" operator="equal">
      <formula>"Moderado"</formula>
    </cfRule>
    <cfRule type="cellIs" dxfId="1354" priority="111" operator="equal">
      <formula>"Bajo"</formula>
    </cfRule>
  </conditionalFormatting>
  <conditionalFormatting sqref="N46">
    <cfRule type="cellIs" dxfId="1353" priority="85" operator="equal">
      <formula>"Extremo"</formula>
    </cfRule>
    <cfRule type="cellIs" dxfId="1352" priority="86" operator="equal">
      <formula>"Alto"</formula>
    </cfRule>
    <cfRule type="cellIs" dxfId="1351" priority="87" operator="equal">
      <formula>"Moderado"</formula>
    </cfRule>
    <cfRule type="cellIs" dxfId="1350" priority="88" operator="equal">
      <formula>"Bajo"</formula>
    </cfRule>
  </conditionalFormatting>
  <conditionalFormatting sqref="N52">
    <cfRule type="cellIs" dxfId="1349" priority="62" operator="equal">
      <formula>"Extremo"</formula>
    </cfRule>
    <cfRule type="cellIs" dxfId="1348" priority="63" operator="equal">
      <formula>"Alto"</formula>
    </cfRule>
    <cfRule type="cellIs" dxfId="1347" priority="64" operator="equal">
      <formula>"Moderado"</formula>
    </cfRule>
    <cfRule type="cellIs" dxfId="1346" priority="65" operator="equal">
      <formula>"Bajo"</formula>
    </cfRule>
  </conditionalFormatting>
  <conditionalFormatting sqref="N58">
    <cfRule type="cellIs" dxfId="1345" priority="39" operator="equal">
      <formula>"Extremo"</formula>
    </cfRule>
    <cfRule type="cellIs" dxfId="1344" priority="40" operator="equal">
      <formula>"Alto"</formula>
    </cfRule>
    <cfRule type="cellIs" dxfId="1343" priority="41" operator="equal">
      <formula>"Moderado"</formula>
    </cfRule>
    <cfRule type="cellIs" dxfId="1342" priority="42" operator="equal">
      <formula>"Bajo"</formula>
    </cfRule>
  </conditionalFormatting>
  <conditionalFormatting sqref="N64">
    <cfRule type="cellIs" dxfId="1341" priority="16" operator="equal">
      <formula>"Extremo"</formula>
    </cfRule>
    <cfRule type="cellIs" dxfId="1340" priority="17" operator="equal">
      <formula>"Alto"</formula>
    </cfRule>
    <cfRule type="cellIs" dxfId="1339" priority="18" operator="equal">
      <formula>"Moderado"</formula>
    </cfRule>
    <cfRule type="cellIs" dxfId="1338" priority="19" operator="equal">
      <formula>"Bajo"</formula>
    </cfRule>
  </conditionalFormatting>
  <conditionalFormatting sqref="Y10:Y69">
    <cfRule type="cellIs" dxfId="1337" priority="11" operator="equal">
      <formula>"Muy Alta"</formula>
    </cfRule>
    <cfRule type="cellIs" dxfId="1336" priority="12" operator="equal">
      <formula>"Alta"</formula>
    </cfRule>
    <cfRule type="cellIs" dxfId="1335" priority="13" operator="equal">
      <formula>"Media"</formula>
    </cfRule>
    <cfRule type="cellIs" dxfId="1334" priority="14" operator="equal">
      <formula>"Baja"</formula>
    </cfRule>
    <cfRule type="cellIs" dxfId="1333" priority="15" operator="equal">
      <formula>"Muy Baja"</formula>
    </cfRule>
  </conditionalFormatting>
  <conditionalFormatting sqref="AA10:AA69">
    <cfRule type="cellIs" dxfId="1332" priority="6" operator="equal">
      <formula>"Catastrófico"</formula>
    </cfRule>
    <cfRule type="cellIs" dxfId="1331" priority="7" operator="equal">
      <formula>"Mayor"</formula>
    </cfRule>
    <cfRule type="cellIs" dxfId="1330" priority="8" operator="equal">
      <formula>"Moderado"</formula>
    </cfRule>
    <cfRule type="cellIs" dxfId="1329" priority="9" operator="equal">
      <formula>"Menor"</formula>
    </cfRule>
    <cfRule type="cellIs" dxfId="1328" priority="10" operator="equal">
      <formula>"Leve"</formula>
    </cfRule>
  </conditionalFormatting>
  <conditionalFormatting sqref="AC10:AC69">
    <cfRule type="cellIs" dxfId="1327" priority="2" operator="equal">
      <formula>"Extremo"</formula>
    </cfRule>
    <cfRule type="cellIs" dxfId="1326" priority="3" operator="equal">
      <formula>"Alto"</formula>
    </cfRule>
    <cfRule type="cellIs" dxfId="1325" priority="4" operator="equal">
      <formula>"Moderado"</formula>
    </cfRule>
    <cfRule type="cellIs" dxfId="1324"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1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1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1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1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1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100-000005000000}">
          <x14:formula1>
            <xm:f>'Tabla Impacto'!$F$210:$F$221</xm:f>
          </x14:formula1>
          <xm:sqref>J10:J69</xm:sqref>
        </x14:dataValidation>
        <x14:dataValidation type="list" allowBlank="1" showInputMessage="1" showErrorMessage="1" xr:uid="{00000000-0002-0000-0100-000006000000}">
          <x14:formula1>
            <xm:f>'Opciones Tratamiento'!$B$2:$B$5</xm:f>
          </x14:formula1>
          <xm:sqref>AD10:AD69</xm:sqref>
        </x14:dataValidation>
        <x14:dataValidation type="list" allowBlank="1" showInputMessage="1" showErrorMessage="1" xr:uid="{00000000-0002-0000-0100-000007000000}">
          <x14:formula1>
            <xm:f>'Opciones Tratamiento'!$E$2:$E$4</xm:f>
          </x14:formula1>
          <xm:sqref>B10:B69</xm:sqref>
        </x14:dataValidation>
        <x14:dataValidation type="list" allowBlank="1" showInputMessage="1" showErrorMessage="1" xr:uid="{00000000-0002-0000-0100-000008000000}">
          <x14:formula1>
            <xm:f>'Opciones Tratamiento'!$B$13:$B$19</xm:f>
          </x14:formula1>
          <xm:sqref>F10:F69</xm:sqref>
        </x14:dataValidation>
        <x14:dataValidation type="list" allowBlank="1" showInputMessage="1" showErrorMessage="1" xr:uid="{00000000-0002-0000-0100-000009000000}">
          <x14:formula1>
            <xm:f>'Tabla Valoración controles'!$D$13:$D$14</xm:f>
          </x14:formula1>
          <xm:sqref>W10:W69</xm:sqref>
        </x14:dataValidation>
        <x14:dataValidation type="list" allowBlank="1" showInputMessage="1" showErrorMessage="1" xr:uid="{00000000-0002-0000-01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100-00000B000000}">
          <x14:formula1>
            <xm:f>'Tabla Valoración controles'!$D$11:$D$12</xm:f>
          </x14:formula1>
          <xm:sqref>V10:V69</xm:sqref>
        </x14:dataValidation>
        <x14:dataValidation type="list" allowBlank="1" showInputMessage="1" showErrorMessage="1" xr:uid="{00000000-0002-0000-0100-00000C000000}">
          <x14:formula1>
            <xm:f>'Tabla Valoración controles'!$D$9:$D$10</xm:f>
          </x14:formula1>
          <xm:sqref>U10:U69</xm:sqref>
        </x14:dataValidation>
        <x14:dataValidation type="list" allowBlank="1" showInputMessage="1" showErrorMessage="1" xr:uid="{00000000-0002-0000-0100-00000D000000}">
          <x14:formula1>
            <xm:f>'Tabla Valoración controles'!$D$7:$D$8</xm:f>
          </x14:formula1>
          <xm:sqref>S10:S69</xm:sqref>
        </x14:dataValidation>
        <x14:dataValidation type="list" allowBlank="1" showInputMessage="1" showErrorMessage="1" xr:uid="{00000000-0002-0000-0100-00000E000000}">
          <x14:formula1>
            <xm:f>'Tabla Valoración controles'!$D$4:$D$6</xm:f>
          </x14:formula1>
          <xm:sqref>R10:R69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249977111117893"/>
  </sheetPr>
  <dimension ref="B1:F16"/>
  <sheetViews>
    <sheetView topLeftCell="A13" zoomScale="120" zoomScaleNormal="120" workbookViewId="0">
      <selection activeCell="E10" sqref="E10"/>
    </sheetView>
  </sheetViews>
  <sheetFormatPr baseColWidth="10" defaultColWidth="14.28515625" defaultRowHeight="12.75" x14ac:dyDescent="0.2"/>
  <cols>
    <col min="1" max="2" width="14.28515625" style="88"/>
    <col min="3" max="3" width="17" style="88" customWidth="1"/>
    <col min="4" max="4" width="14.28515625" style="88"/>
    <col min="5" max="5" width="46" style="88" customWidth="1"/>
    <col min="6" max="16384" width="14.28515625" style="88"/>
  </cols>
  <sheetData>
    <row r="1" spans="2:6" ht="24" customHeight="1" thickBot="1" x14ac:dyDescent="0.25">
      <c r="B1" s="392" t="s">
        <v>78</v>
      </c>
      <c r="C1" s="393"/>
      <c r="D1" s="393"/>
      <c r="E1" s="393"/>
      <c r="F1" s="394"/>
    </row>
    <row r="2" spans="2:6" ht="16.5" thickBot="1" x14ac:dyDescent="0.3">
      <c r="B2" s="89"/>
      <c r="C2" s="89"/>
      <c r="D2" s="89"/>
      <c r="E2" s="89"/>
      <c r="F2" s="89"/>
    </row>
    <row r="3" spans="2:6" ht="16.5" thickBot="1" x14ac:dyDescent="0.25">
      <c r="B3" s="396" t="s">
        <v>64</v>
      </c>
      <c r="C3" s="397"/>
      <c r="D3" s="397"/>
      <c r="E3" s="101" t="s">
        <v>65</v>
      </c>
      <c r="F3" s="102" t="s">
        <v>66</v>
      </c>
    </row>
    <row r="4" spans="2:6" ht="31.5" x14ac:dyDescent="0.2">
      <c r="B4" s="398" t="s">
        <v>67</v>
      </c>
      <c r="C4" s="400" t="s">
        <v>13</v>
      </c>
      <c r="D4" s="90" t="s">
        <v>14</v>
      </c>
      <c r="E4" s="91" t="s">
        <v>68</v>
      </c>
      <c r="F4" s="92">
        <v>0.25</v>
      </c>
    </row>
    <row r="5" spans="2:6" ht="47.25" x14ac:dyDescent="0.2">
      <c r="B5" s="399"/>
      <c r="C5" s="401"/>
      <c r="D5" s="93" t="s">
        <v>15</v>
      </c>
      <c r="E5" s="94" t="s">
        <v>69</v>
      </c>
      <c r="F5" s="95">
        <v>0.15</v>
      </c>
    </row>
    <row r="6" spans="2:6" ht="47.25" x14ac:dyDescent="0.2">
      <c r="B6" s="399"/>
      <c r="C6" s="401"/>
      <c r="D6" s="93" t="s">
        <v>16</v>
      </c>
      <c r="E6" s="94" t="s">
        <v>70</v>
      </c>
      <c r="F6" s="95">
        <v>0.1</v>
      </c>
    </row>
    <row r="7" spans="2:6" ht="63" x14ac:dyDescent="0.2">
      <c r="B7" s="399"/>
      <c r="C7" s="401" t="s">
        <v>17</v>
      </c>
      <c r="D7" s="93" t="s">
        <v>10</v>
      </c>
      <c r="E7" s="94" t="s">
        <v>71</v>
      </c>
      <c r="F7" s="95">
        <v>0.25</v>
      </c>
    </row>
    <row r="8" spans="2:6" ht="31.5" x14ac:dyDescent="0.2">
      <c r="B8" s="399"/>
      <c r="C8" s="401"/>
      <c r="D8" s="93" t="s">
        <v>9</v>
      </c>
      <c r="E8" s="94" t="s">
        <v>72</v>
      </c>
      <c r="F8" s="95">
        <v>0.15</v>
      </c>
    </row>
    <row r="9" spans="2:6" ht="47.25" x14ac:dyDescent="0.2">
      <c r="B9" s="399" t="s">
        <v>162</v>
      </c>
      <c r="C9" s="401" t="s">
        <v>18</v>
      </c>
      <c r="D9" s="93" t="s">
        <v>19</v>
      </c>
      <c r="E9" s="94" t="s">
        <v>73</v>
      </c>
      <c r="F9" s="96" t="s">
        <v>74</v>
      </c>
    </row>
    <row r="10" spans="2:6" ht="63" x14ac:dyDescent="0.2">
      <c r="B10" s="399"/>
      <c r="C10" s="401"/>
      <c r="D10" s="93" t="s">
        <v>20</v>
      </c>
      <c r="E10" s="94" t="s">
        <v>75</v>
      </c>
      <c r="F10" s="96" t="s">
        <v>74</v>
      </c>
    </row>
    <row r="11" spans="2:6" ht="47.25" x14ac:dyDescent="0.2">
      <c r="B11" s="399"/>
      <c r="C11" s="401" t="s">
        <v>21</v>
      </c>
      <c r="D11" s="93" t="s">
        <v>22</v>
      </c>
      <c r="E11" s="94" t="s">
        <v>76</v>
      </c>
      <c r="F11" s="96" t="s">
        <v>74</v>
      </c>
    </row>
    <row r="12" spans="2:6" ht="47.25" x14ac:dyDescent="0.2">
      <c r="B12" s="399"/>
      <c r="C12" s="401"/>
      <c r="D12" s="93" t="s">
        <v>23</v>
      </c>
      <c r="E12" s="94" t="s">
        <v>77</v>
      </c>
      <c r="F12" s="96" t="s">
        <v>74</v>
      </c>
    </row>
    <row r="13" spans="2:6" ht="31.5" x14ac:dyDescent="0.2">
      <c r="B13" s="399"/>
      <c r="C13" s="401" t="s">
        <v>24</v>
      </c>
      <c r="D13" s="93" t="s">
        <v>119</v>
      </c>
      <c r="E13" s="94" t="s">
        <v>122</v>
      </c>
      <c r="F13" s="96" t="s">
        <v>74</v>
      </c>
    </row>
    <row r="14" spans="2:6" ht="32.25" thickBot="1" x14ac:dyDescent="0.25">
      <c r="B14" s="402"/>
      <c r="C14" s="403"/>
      <c r="D14" s="97" t="s">
        <v>120</v>
      </c>
      <c r="E14" s="98" t="s">
        <v>121</v>
      </c>
      <c r="F14" s="99" t="s">
        <v>74</v>
      </c>
    </row>
    <row r="15" spans="2:6" ht="49.5" customHeight="1" x14ac:dyDescent="0.2">
      <c r="B15" s="395" t="s">
        <v>159</v>
      </c>
      <c r="C15" s="395"/>
      <c r="D15" s="395"/>
      <c r="E15" s="395"/>
      <c r="F15" s="395"/>
    </row>
    <row r="16" spans="2:6" ht="27" customHeight="1" x14ac:dyDescent="0.25">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E19"/>
  <sheetViews>
    <sheetView topLeftCell="A4" workbookViewId="0">
      <selection activeCell="B13" sqref="B13:B19"/>
    </sheetView>
  </sheetViews>
  <sheetFormatPr baseColWidth="10" defaultRowHeight="15" x14ac:dyDescent="0.25"/>
  <sheetData>
    <row r="2" spans="2:5" x14ac:dyDescent="0.25">
      <c r="B2" t="s">
        <v>31</v>
      </c>
      <c r="E2" t="s">
        <v>133</v>
      </c>
    </row>
    <row r="3" spans="2:5" x14ac:dyDescent="0.25">
      <c r="B3" t="s">
        <v>32</v>
      </c>
      <c r="E3" t="s">
        <v>132</v>
      </c>
    </row>
    <row r="4" spans="2:5" x14ac:dyDescent="0.25">
      <c r="B4" t="s">
        <v>137</v>
      </c>
      <c r="E4" t="s">
        <v>134</v>
      </c>
    </row>
    <row r="5" spans="2:5" x14ac:dyDescent="0.25">
      <c r="B5" t="s">
        <v>136</v>
      </c>
    </row>
    <row r="8" spans="2:5" x14ac:dyDescent="0.25">
      <c r="B8" t="s">
        <v>86</v>
      </c>
    </row>
    <row r="9" spans="2:5" x14ac:dyDescent="0.25">
      <c r="B9" t="s">
        <v>40</v>
      </c>
    </row>
    <row r="10" spans="2:5" x14ac:dyDescent="0.25">
      <c r="B10" t="s">
        <v>41</v>
      </c>
    </row>
    <row r="13" spans="2:5" x14ac:dyDescent="0.25">
      <c r="B13" t="s">
        <v>129</v>
      </c>
    </row>
    <row r="14" spans="2:5" x14ac:dyDescent="0.25">
      <c r="B14" t="s">
        <v>123</v>
      </c>
    </row>
    <row r="15" spans="2:5" x14ac:dyDescent="0.25">
      <c r="B15" t="s">
        <v>126</v>
      </c>
    </row>
    <row r="16" spans="2:5" x14ac:dyDescent="0.25">
      <c r="B16" t="s">
        <v>124</v>
      </c>
    </row>
    <row r="17" spans="2:2" x14ac:dyDescent="0.25">
      <c r="B17" t="s">
        <v>125</v>
      </c>
    </row>
    <row r="18" spans="2:2" x14ac:dyDescent="0.25">
      <c r="B18" t="s">
        <v>127</v>
      </c>
    </row>
    <row r="19" spans="2:2" x14ac:dyDescent="0.25">
      <c r="B19" t="s">
        <v>128</v>
      </c>
    </row>
  </sheetData>
  <sortState xmlns:xlrd2="http://schemas.microsoft.com/office/spreadsheetml/2017/richdata2" ref="B2:B5">
    <sortCondition ref="B2:B5"/>
  </sortState>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3:A21"/>
  <sheetViews>
    <sheetView workbookViewId="0">
      <selection activeCell="A19" sqref="A19"/>
    </sheetView>
  </sheetViews>
  <sheetFormatPr baseColWidth="10"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BP72"/>
  <sheetViews>
    <sheetView topLeftCell="M8" zoomScale="66" zoomScaleNormal="66" workbookViewId="0">
      <selection activeCell="AH11" sqref="AH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325</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326</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327</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132</v>
      </c>
      <c r="C10" s="191" t="s">
        <v>276</v>
      </c>
      <c r="D10" s="191" t="s">
        <v>277</v>
      </c>
      <c r="E10" s="215" t="s">
        <v>278</v>
      </c>
      <c r="F10" s="191" t="s">
        <v>123</v>
      </c>
      <c r="G10" s="194">
        <v>236</v>
      </c>
      <c r="H10" s="203" t="str">
        <f>IF(G10&lt;=0,"",IF(G10&lt;=2,"Muy Baja",IF(G10&lt;=24,"Baja",IF(G10&lt;=500,"Media",IF(G10&lt;=5000,"Alta","Muy Alta")))))</f>
        <v>Media</v>
      </c>
      <c r="I10" s="206">
        <f>IF(H10="","",IF(H10="Muy Baja",0.2,IF(H10="Baja",0.4,IF(H10="Media",0.6,IF(H10="Alta",0.8,IF(H10="Muy Alta",1,))))))</f>
        <v>0.6</v>
      </c>
      <c r="J10" s="209" t="s">
        <v>156</v>
      </c>
      <c r="K10" s="206"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03" t="str">
        <f ca="1">IF(OR(K10='Tabla Impacto'!$C$11,K10='Tabla Impacto'!$D$11),"Leve",IF(OR(K10='Tabla Impacto'!$C$12,K10='Tabla Impacto'!$D$12),"Menor",IF(OR(K10='Tabla Impacto'!$C$13,K10='Tabla Impacto'!$D$13),"Moderado",IF(OR(K10='Tabla Impacto'!$C$14,K10='Tabla Impacto'!$D$14),"Mayor",IF(OR(K10='Tabla Impacto'!$C$15,K10='Tabla Impacto'!$D$15),"Catastrófico","")))))</f>
        <v>Mayor</v>
      </c>
      <c r="M10" s="206">
        <f ca="1">IF(L10="","",IF(L10="Leve",0.2,IF(L10="Menor",0.4,IF(L10="Moderado",0.6,IF(L10="Mayor",0.8,IF(L10="Catastrófico",1,))))))</f>
        <v>0.8</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279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280</v>
      </c>
      <c r="AF10" s="133" t="s">
        <v>281</v>
      </c>
      <c r="AG10" s="135">
        <v>45265</v>
      </c>
      <c r="AH10" s="135">
        <v>45161</v>
      </c>
      <c r="AI10" s="133" t="s">
        <v>282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2</v>
      </c>
      <c r="P11" s="124" t="s">
        <v>283</v>
      </c>
      <c r="Q11" s="125" t="str">
        <f>IF(OR(R11="Preventivo",R11="Detectivo"),"Probabilidad",IF(R11="Correctivo","Impacto",""))</f>
        <v>Probabilidad</v>
      </c>
      <c r="R11" s="126" t="s">
        <v>15</v>
      </c>
      <c r="S11" s="126" t="s">
        <v>9</v>
      </c>
      <c r="T11" s="127" t="str">
        <f t="shared" ref="T11:T15" si="0">IF(AND(R11="Preventivo",S11="Automático"),"50%",IF(AND(R11="Preventivo",S11="Manual"),"40%",IF(AND(R11="Detectivo",S11="Automático"),"40%",IF(AND(R11="Detectivo",S11="Manual"),"30%",IF(AND(R11="Correctivo",S11="Automático"),"35%",IF(AND(R11="Correctivo",S11="Manual"),"25%",""))))))</f>
        <v>30%</v>
      </c>
      <c r="U11" s="126" t="s">
        <v>20</v>
      </c>
      <c r="V11" s="126" t="s">
        <v>23</v>
      </c>
      <c r="W11" s="126" t="s">
        <v>119</v>
      </c>
      <c r="X11" s="128">
        <f>IFERROR(IF(AND(Q10="Probabilidad",Q11="Probabilidad"),(Z10-(+Z10*T11)),IF(Q11="Probabilidad",(I10-(+I10*T11)),IF(Q11="Impacto",Z10,""))),"")</f>
        <v>0.252</v>
      </c>
      <c r="Y11" s="129" t="str">
        <f t="shared" ref="Y11:Y69" si="1">IFERROR(IF(X11="","",IF(X11&lt;=0.2,"Muy Baja",IF(X11&lt;=0.4,"Baja",IF(X11&lt;=0.6,"Media",IF(X11&lt;=0.8,"Alta","Muy Alta"))))),"")</f>
        <v>Baja</v>
      </c>
      <c r="Z11" s="130">
        <f t="shared" ref="Z11:Z15" si="2">+X11</f>
        <v>0.252</v>
      </c>
      <c r="AA11" s="129" t="str">
        <f t="shared" ref="AA11:AA69" ca="1" si="3">IFERROR(IF(AB11="","",IF(AB11&lt;=0.2,"Leve",IF(AB11&lt;=0.4,"Menor",IF(AB11&lt;=0.6,"Moderado",IF(AB11&lt;=0.8,"Mayor","Catastrófico"))))),"")</f>
        <v>Mayor</v>
      </c>
      <c r="AB11" s="130">
        <f ca="1">IFERROR(IF(AND(Q10="Impacto",Q11="Impacto"),(AB10-(+AB10*T11)),IF(Q11="Impacto",($M$10-(+$M$10*T11)),IF(Q11="Probabilidad",AB10,""))),"")</f>
        <v>0.8</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32" t="s">
        <v>136</v>
      </c>
      <c r="AE11" s="133" t="s">
        <v>285</v>
      </c>
      <c r="AF11" s="133" t="s">
        <v>284</v>
      </c>
      <c r="AG11" s="135">
        <v>45291</v>
      </c>
      <c r="AH11" s="135">
        <v>45265</v>
      </c>
      <c r="AI11" s="133" t="s">
        <v>406</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3</v>
      </c>
      <c r="P12" s="124"/>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4"/>
      <c r="B15" s="193"/>
      <c r="C15" s="193"/>
      <c r="D15" s="193"/>
      <c r="E15" s="217"/>
      <c r="F15" s="193"/>
      <c r="G15" s="196"/>
      <c r="H15" s="205"/>
      <c r="I15" s="208"/>
      <c r="J15" s="211"/>
      <c r="K15" s="208">
        <f ca="1">IF(NOT(ISERROR(MATCH(J15,_xlfn.ANCHORARRAY(E26),0))),I28&amp;"Por favor no seleccionar los criterios de impacto",J15)</f>
        <v>0</v>
      </c>
      <c r="L15" s="205"/>
      <c r="M15" s="208"/>
      <c r="N15" s="199"/>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2">
        <v>2</v>
      </c>
      <c r="B16" s="191"/>
      <c r="C16" s="191"/>
      <c r="D16" s="250"/>
      <c r="E16" s="250"/>
      <c r="F16" s="191"/>
      <c r="G16" s="194"/>
      <c r="H16" s="203" t="str">
        <f>IF(G16&lt;=0,"",IF(G16&lt;=2,"Muy Baja",IF(G16&lt;=24,"Baja",IF(G16&lt;=500,"Media",IF(G16&lt;=5000,"Alta","Muy Alta")))))</f>
        <v/>
      </c>
      <c r="I16" s="206" t="str">
        <f>IF(H16="","",IF(H16="Muy Baja",0.2,IF(H16="Baja",0.4,IF(H16="Media",0.6,IF(H16="Alta",0.8,IF(H16="Muy Alta",1,))))))</f>
        <v/>
      </c>
      <c r="J16" s="209"/>
      <c r="K16" s="206">
        <f ca="1">IF(NOT(ISERROR(MATCH(J16,'Tabla Impacto'!$B$221:$B$223,0))),'Tabla Impacto'!$F$223&amp;"Por favor no seleccionar los criterios de impacto(Afectación Económica o presupuestal y Pérdida Reputacional)",J16)</f>
        <v>0</v>
      </c>
      <c r="L16" s="203" t="str">
        <f ca="1">IF(OR(K16='Tabla Impacto'!$C$11,K16='Tabla Impacto'!$D$11),"Leve",IF(OR(K16='Tabla Impacto'!$C$12,K16='Tabla Impacto'!$D$12),"Menor",IF(OR(K16='Tabla Impacto'!$C$13,K16='Tabla Impacto'!$D$13),"Moderado",IF(OR(K16='Tabla Impacto'!$C$14,K16='Tabla Impacto'!$D$14),"Mayor",IF(OR(K16='Tabla Impacto'!$C$15,K16='Tabla Impacto'!$D$15),"Catastrófico","")))))</f>
        <v/>
      </c>
      <c r="M16" s="206" t="str">
        <f ca="1">IF(L16="","",IF(L16="Leve",0.2,IF(L16="Menor",0.4,IF(L16="Moderado",0.6,IF(L16="Mayor",0.8,IF(L16="Catastrófico",1,))))))</f>
        <v/>
      </c>
      <c r="N16" s="19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251"/>
      <c r="E17" s="251"/>
      <c r="F17" s="192"/>
      <c r="G17" s="195"/>
      <c r="H17" s="204"/>
      <c r="I17" s="207"/>
      <c r="J17" s="210"/>
      <c r="K17" s="207">
        <f ca="1">IF(NOT(ISERROR(MATCH(J17,_xlfn.ANCHORARRAY(E28),0))),I30&amp;"Por favor no seleccionar los criterios de impacto",J17)</f>
        <v>0</v>
      </c>
      <c r="L17" s="204"/>
      <c r="M17" s="207"/>
      <c r="N17" s="198"/>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251"/>
      <c r="E18" s="251"/>
      <c r="F18" s="192"/>
      <c r="G18" s="195"/>
      <c r="H18" s="204"/>
      <c r="I18" s="207"/>
      <c r="J18" s="210"/>
      <c r="K18" s="207">
        <f ca="1">IF(NOT(ISERROR(MATCH(J18,_xlfn.ANCHORARRAY(E29),0))),I31&amp;"Por favor no seleccionar los criterios de impacto",J18)</f>
        <v>0</v>
      </c>
      <c r="L18" s="204"/>
      <c r="M18" s="207"/>
      <c r="N18" s="198"/>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250"/>
      <c r="E19" s="250"/>
      <c r="F19" s="192"/>
      <c r="G19" s="195"/>
      <c r="H19" s="204"/>
      <c r="I19" s="207"/>
      <c r="J19" s="210"/>
      <c r="K19" s="207">
        <f ca="1">IF(NOT(ISERROR(MATCH(J19,_xlfn.ANCHORARRAY(E30),0))),I32&amp;"Por favor no seleccionar los criterios de impacto",J19)</f>
        <v>0</v>
      </c>
      <c r="L19" s="204"/>
      <c r="M19" s="207"/>
      <c r="N19" s="198"/>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251"/>
      <c r="E20" s="251"/>
      <c r="F20" s="192"/>
      <c r="G20" s="195"/>
      <c r="H20" s="204"/>
      <c r="I20" s="207"/>
      <c r="J20" s="210"/>
      <c r="K20" s="207">
        <f ca="1">IF(NOT(ISERROR(MATCH(J20,_xlfn.ANCHORARRAY(E31),0))),I33&amp;"Por favor no seleccionar los criterios de impacto",J20)</f>
        <v>0</v>
      </c>
      <c r="L20" s="204"/>
      <c r="M20" s="207"/>
      <c r="N20" s="198"/>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4"/>
      <c r="B21" s="193"/>
      <c r="C21" s="193"/>
      <c r="D21" s="251"/>
      <c r="E21" s="251"/>
      <c r="F21" s="193"/>
      <c r="G21" s="196"/>
      <c r="H21" s="205"/>
      <c r="I21" s="208"/>
      <c r="J21" s="211"/>
      <c r="K21" s="208">
        <f ca="1">IF(NOT(ISERROR(MATCH(J21,_xlfn.ANCHORARRAY(E32),0))),I34&amp;"Por favor no seleccionar los criterios de impacto",J21)</f>
        <v>0</v>
      </c>
      <c r="L21" s="205"/>
      <c r="M21" s="208"/>
      <c r="N21" s="199"/>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2">
        <v>3</v>
      </c>
      <c r="B22" s="191"/>
      <c r="C22" s="191"/>
      <c r="D22" s="191"/>
      <c r="E22" s="215"/>
      <c r="F22" s="191"/>
      <c r="G22" s="194"/>
      <c r="H22" s="203" t="str">
        <f>IF(G22&lt;=0,"",IF(G22&lt;=2,"Muy Baja",IF(G22&lt;=24,"Baja",IF(G22&lt;=500,"Media",IF(G22&lt;=5000,"Alta","Muy Alta")))))</f>
        <v/>
      </c>
      <c r="I22" s="206" t="str">
        <f>IF(H22="","",IF(H22="Muy Baja",0.2,IF(H22="Baja",0.4,IF(H22="Media",0.6,IF(H22="Alta",0.8,IF(H22="Muy Alta",1,))))))</f>
        <v/>
      </c>
      <c r="J22" s="209"/>
      <c r="K22" s="206">
        <f ca="1">IF(NOT(ISERROR(MATCH(J22,'Tabla Impacto'!$B$221:$B$223,0))),'Tabla Impacto'!$F$223&amp;"Por favor no seleccionar los criterios de impacto(Afectación Económica o presupuestal y Pérdida Reputacional)",J22)</f>
        <v>0</v>
      </c>
      <c r="L22" s="203" t="str">
        <f ca="1">IF(OR(K22='Tabla Impacto'!$C$11,K22='Tabla Impacto'!$D$11),"Leve",IF(OR(K22='Tabla Impacto'!$C$12,K22='Tabla Impacto'!$D$12),"Menor",IF(OR(K22='Tabla Impacto'!$C$13,K22='Tabla Impacto'!$D$13),"Moderado",IF(OR(K22='Tabla Impacto'!$C$14,K22='Tabla Impacto'!$D$14),"Mayor",IF(OR(K22='Tabla Impacto'!$C$15,K22='Tabla Impacto'!$D$15),"Catastrófico","")))))</f>
        <v/>
      </c>
      <c r="M22" s="206" t="str">
        <f ca="1">IF(L22="","",IF(L22="Leve",0.2,IF(L22="Menor",0.4,IF(L22="Moderado",0.6,IF(L22="Mayor",0.8,IF(L22="Catastrófico",1,))))))</f>
        <v/>
      </c>
      <c r="N22" s="19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ref="K23:K27" ca="1" si="15">IF(NOT(ISERROR(MATCH(J23,_xlfn.ANCHORARRAY(E34),0))),I36&amp;"Por favor no seleccionar los criterios de impacto",J23)</f>
        <v>0</v>
      </c>
      <c r="L23" s="204"/>
      <c r="M23" s="207"/>
      <c r="N23" s="198"/>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15"/>
        <v>0</v>
      </c>
      <c r="L26" s="204"/>
      <c r="M26" s="207"/>
      <c r="N26" s="198"/>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4"/>
      <c r="B27" s="193"/>
      <c r="C27" s="193"/>
      <c r="D27" s="193"/>
      <c r="E27" s="217"/>
      <c r="F27" s="193"/>
      <c r="G27" s="196"/>
      <c r="H27" s="205"/>
      <c r="I27" s="208"/>
      <c r="J27" s="211"/>
      <c r="K27" s="208">
        <f t="shared" ca="1" si="15"/>
        <v>0</v>
      </c>
      <c r="L27" s="205"/>
      <c r="M27" s="208"/>
      <c r="N27" s="199"/>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2">
        <v>4</v>
      </c>
      <c r="B28" s="191"/>
      <c r="C28" s="191"/>
      <c r="D28" s="191"/>
      <c r="E28" s="215"/>
      <c r="F28" s="191"/>
      <c r="G28" s="194"/>
      <c r="H28" s="203" t="str">
        <f>IF(G28&lt;=0,"",IF(G28&lt;=2,"Muy Baja",IF(G28&lt;=24,"Baja",IF(G28&lt;=500,"Media",IF(G28&lt;=5000,"Alta","Muy Alta")))))</f>
        <v/>
      </c>
      <c r="I28" s="206" t="str">
        <f>IF(H28="","",IF(H28="Muy Baja",0.2,IF(H28="Baja",0.4,IF(H28="Media",0.6,IF(H28="Alta",0.8,IF(H28="Muy Alta",1,))))))</f>
        <v/>
      </c>
      <c r="J28" s="209"/>
      <c r="K28" s="206">
        <f ca="1">IF(NOT(ISERROR(MATCH(J28,'Tabla Impacto'!$B$221:$B$223,0))),'Tabla Impacto'!$F$223&amp;"Por favor no seleccionar los criterios de impacto(Afectación Económica o presupuestal y Pérdida Reputacional)",J28)</f>
        <v>0</v>
      </c>
      <c r="L28" s="203" t="str">
        <f ca="1">IF(OR(K28='Tabla Impacto'!$C$11,K28='Tabla Impacto'!$D$11),"Leve",IF(OR(K28='Tabla Impacto'!$C$12,K28='Tabla Impacto'!$D$12),"Menor",IF(OR(K28='Tabla Impacto'!$C$13,K28='Tabla Impacto'!$D$13),"Moderado",IF(OR(K28='Tabla Impacto'!$C$14,K28='Tabla Impacto'!$D$14),"Mayor",IF(OR(K28='Tabla Impacto'!$C$15,K28='Tabla Impacto'!$D$15),"Catastrófico","")))))</f>
        <v/>
      </c>
      <c r="M28" s="206" t="str">
        <f ca="1">IF(L28="","",IF(L28="Leve",0.2,IF(L28="Menor",0.4,IF(L28="Moderado",0.6,IF(L28="Mayor",0.8,IF(L28="Catastrófico",1,))))))</f>
        <v/>
      </c>
      <c r="N28" s="19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ref="K29:K33" ca="1" si="23">IF(NOT(ISERROR(MATCH(J29,_xlfn.ANCHORARRAY(E40),0))),I42&amp;"Por favor no seleccionar los criterios de impacto",J29)</f>
        <v>0</v>
      </c>
      <c r="L29" s="204"/>
      <c r="M29" s="207"/>
      <c r="N29" s="198"/>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3"/>
        <v>0</v>
      </c>
      <c r="L32" s="204"/>
      <c r="M32" s="207"/>
      <c r="N32" s="198"/>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4"/>
      <c r="B33" s="193"/>
      <c r="C33" s="193"/>
      <c r="D33" s="193"/>
      <c r="E33" s="217"/>
      <c r="F33" s="193"/>
      <c r="G33" s="196"/>
      <c r="H33" s="205"/>
      <c r="I33" s="208"/>
      <c r="J33" s="211"/>
      <c r="K33" s="208">
        <f t="shared" ca="1" si="23"/>
        <v>0</v>
      </c>
      <c r="L33" s="205"/>
      <c r="M33" s="208"/>
      <c r="N33" s="199"/>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2">
        <v>5</v>
      </c>
      <c r="B34" s="191"/>
      <c r="C34" s="191"/>
      <c r="D34" s="191"/>
      <c r="E34" s="215"/>
      <c r="F34" s="191"/>
      <c r="G34" s="194"/>
      <c r="H34" s="203" t="str">
        <f>IF(G34&lt;=0,"",IF(G34&lt;=2,"Muy Baja",IF(G34&lt;=24,"Baja",IF(G34&lt;=500,"Media",IF(G34&lt;=5000,"Alta","Muy Alta")))))</f>
        <v/>
      </c>
      <c r="I34" s="206" t="str">
        <f>IF(H34="","",IF(H34="Muy Baja",0.2,IF(H34="Baja",0.4,IF(H34="Media",0.6,IF(H34="Alta",0.8,IF(H34="Muy Alta",1,))))))</f>
        <v/>
      </c>
      <c r="J34" s="209"/>
      <c r="K34" s="206">
        <f ca="1">IF(NOT(ISERROR(MATCH(J34,'Tabla Impacto'!$B$221:$B$223,0))),'Tabla Impacto'!$F$223&amp;"Por favor no seleccionar los criterios de impacto(Afectación Económica o presupuestal y Pérdida Reputacional)",J34)</f>
        <v>0</v>
      </c>
      <c r="L34" s="203" t="str">
        <f ca="1">IF(OR(K34='Tabla Impacto'!$C$11,K34='Tabla Impacto'!$D$11),"Leve",IF(OR(K34='Tabla Impacto'!$C$12,K34='Tabla Impacto'!$D$12),"Menor",IF(OR(K34='Tabla Impacto'!$C$13,K34='Tabla Impacto'!$D$13),"Moderado",IF(OR(K34='Tabla Impacto'!$C$14,K34='Tabla Impacto'!$D$14),"Mayor",IF(OR(K34='Tabla Impacto'!$C$15,K34='Tabla Impacto'!$D$15),"Catastrófico","")))))</f>
        <v/>
      </c>
      <c r="M34" s="206" t="str">
        <f ca="1">IF(L34="","",IF(L34="Leve",0.2,IF(L34="Menor",0.4,IF(L34="Moderado",0.6,IF(L34="Mayor",0.8,IF(L34="Catastrófico",1,))))))</f>
        <v/>
      </c>
      <c r="N34" s="19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ref="K35:K39" ca="1" si="31">IF(NOT(ISERROR(MATCH(J35,_xlfn.ANCHORARRAY(E46),0))),I48&amp;"Por favor no seleccionar los criterios de impacto",J35)</f>
        <v>0</v>
      </c>
      <c r="L35" s="204"/>
      <c r="M35" s="207"/>
      <c r="N35" s="198"/>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1"/>
        <v>0</v>
      </c>
      <c r="L38" s="204"/>
      <c r="M38" s="207"/>
      <c r="N38" s="198"/>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4"/>
      <c r="B39" s="193"/>
      <c r="C39" s="193"/>
      <c r="D39" s="193"/>
      <c r="E39" s="217"/>
      <c r="F39" s="193"/>
      <c r="G39" s="196"/>
      <c r="H39" s="205"/>
      <c r="I39" s="208"/>
      <c r="J39" s="211"/>
      <c r="K39" s="208">
        <f t="shared" ca="1" si="31"/>
        <v>0</v>
      </c>
      <c r="L39" s="205"/>
      <c r="M39" s="208"/>
      <c r="N39" s="199"/>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2">
        <v>6</v>
      </c>
      <c r="B40" s="191"/>
      <c r="C40" s="191"/>
      <c r="D40" s="191"/>
      <c r="E40" s="215"/>
      <c r="F40" s="191"/>
      <c r="G40" s="194"/>
      <c r="H40" s="203" t="str">
        <f>IF(G40&lt;=0,"",IF(G40&lt;=2,"Muy Baja",IF(G40&lt;=24,"Baja",IF(G40&lt;=500,"Media",IF(G40&lt;=5000,"Alta","Muy Alta")))))</f>
        <v/>
      </c>
      <c r="I40" s="206" t="str">
        <f>IF(H40="","",IF(H40="Muy Baja",0.2,IF(H40="Baja",0.4,IF(H40="Media",0.6,IF(H40="Alta",0.8,IF(H40="Muy Alta",1,))))))</f>
        <v/>
      </c>
      <c r="J40" s="209"/>
      <c r="K40" s="206">
        <f ca="1">IF(NOT(ISERROR(MATCH(J40,'Tabla Impacto'!$B$221:$B$223,0))),'Tabla Impacto'!$F$223&amp;"Por favor no seleccionar los criterios de impacto(Afectación Económica o presupuestal y Pérdida Reputacional)",J40)</f>
        <v>0</v>
      </c>
      <c r="L40" s="203" t="str">
        <f ca="1">IF(OR(K40='Tabla Impacto'!$C$11,K40='Tabla Impacto'!$D$11),"Leve",IF(OR(K40='Tabla Impacto'!$C$12,K40='Tabla Impacto'!$D$12),"Menor",IF(OR(K40='Tabla Impacto'!$C$13,K40='Tabla Impacto'!$D$13),"Moderado",IF(OR(K40='Tabla Impacto'!$C$14,K40='Tabla Impacto'!$D$14),"Mayor",IF(OR(K40='Tabla Impacto'!$C$15,K40='Tabla Impacto'!$D$15),"Catastrófico","")))))</f>
        <v/>
      </c>
      <c r="M40" s="206" t="str">
        <f ca="1">IF(L40="","",IF(L40="Leve",0.2,IF(L40="Menor",0.4,IF(L40="Moderado",0.6,IF(L40="Mayor",0.8,IF(L40="Catastrófico",1,))))))</f>
        <v/>
      </c>
      <c r="N40" s="19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ref="K41:K45" ca="1" si="39">IF(NOT(ISERROR(MATCH(J41,_xlfn.ANCHORARRAY(E52),0))),I54&amp;"Por favor no seleccionar los criterios de impacto",J41)</f>
        <v>0</v>
      </c>
      <c r="L41" s="204"/>
      <c r="M41" s="207"/>
      <c r="N41" s="198"/>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39"/>
        <v>0</v>
      </c>
      <c r="L44" s="204"/>
      <c r="M44" s="207"/>
      <c r="N44" s="198"/>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4"/>
      <c r="B45" s="193"/>
      <c r="C45" s="193"/>
      <c r="D45" s="193"/>
      <c r="E45" s="217"/>
      <c r="F45" s="193"/>
      <c r="G45" s="196"/>
      <c r="H45" s="205"/>
      <c r="I45" s="208"/>
      <c r="J45" s="211"/>
      <c r="K45" s="208">
        <f t="shared" ca="1" si="39"/>
        <v>0</v>
      </c>
      <c r="L45" s="205"/>
      <c r="M45" s="208"/>
      <c r="N45" s="199"/>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2">
        <v>7</v>
      </c>
      <c r="B46" s="191"/>
      <c r="C46" s="191"/>
      <c r="D46" s="191"/>
      <c r="E46" s="215"/>
      <c r="F46" s="191"/>
      <c r="G46" s="194"/>
      <c r="H46" s="203" t="str">
        <f>IF(G46&lt;=0,"",IF(G46&lt;=2,"Muy Baja",IF(G46&lt;=24,"Baja",IF(G46&lt;=500,"Media",IF(G46&lt;=5000,"Alta","Muy Alta")))))</f>
        <v/>
      </c>
      <c r="I46" s="206" t="str">
        <f>IF(H46="","",IF(H46="Muy Baja",0.2,IF(H46="Baja",0.4,IF(H46="Media",0.6,IF(H46="Alta",0.8,IF(H46="Muy Alta",1,))))))</f>
        <v/>
      </c>
      <c r="J46" s="209"/>
      <c r="K46" s="206">
        <f ca="1">IF(NOT(ISERROR(MATCH(J46,'Tabla Impacto'!$B$221:$B$223,0))),'Tabla Impacto'!$F$223&amp;"Por favor no seleccionar los criterios de impacto(Afectación Económica o presupuestal y Pérdida Reputacional)",J46)</f>
        <v>0</v>
      </c>
      <c r="L46" s="203" t="str">
        <f ca="1">IF(OR(K46='Tabla Impacto'!$C$11,K46='Tabla Impacto'!$D$11),"Leve",IF(OR(K46='Tabla Impacto'!$C$12,K46='Tabla Impacto'!$D$12),"Menor",IF(OR(K46='Tabla Impacto'!$C$13,K46='Tabla Impacto'!$D$13),"Moderado",IF(OR(K46='Tabla Impacto'!$C$14,K46='Tabla Impacto'!$D$14),"Mayor",IF(OR(K46='Tabla Impacto'!$C$15,K46='Tabla Impacto'!$D$15),"Catastrófico","")))))</f>
        <v/>
      </c>
      <c r="M46" s="206" t="str">
        <f ca="1">IF(L46="","",IF(L46="Leve",0.2,IF(L46="Menor",0.4,IF(L46="Moderado",0.6,IF(L46="Mayor",0.8,IF(L46="Catastrófico",1,))))))</f>
        <v/>
      </c>
      <c r="N46" s="19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ref="K47:K51" ca="1" si="47">IF(NOT(ISERROR(MATCH(J47,_xlfn.ANCHORARRAY(E58),0))),I60&amp;"Por favor no seleccionar los criterios de impacto",J47)</f>
        <v>0</v>
      </c>
      <c r="L47" s="204"/>
      <c r="M47" s="207"/>
      <c r="N47" s="198"/>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t="shared" ca="1" si="47"/>
        <v>0</v>
      </c>
      <c r="L50" s="204"/>
      <c r="M50" s="207"/>
      <c r="N50" s="198"/>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4"/>
      <c r="B51" s="193"/>
      <c r="C51" s="193"/>
      <c r="D51" s="193"/>
      <c r="E51" s="217"/>
      <c r="F51" s="193"/>
      <c r="G51" s="196"/>
      <c r="H51" s="205"/>
      <c r="I51" s="208"/>
      <c r="J51" s="211"/>
      <c r="K51" s="208">
        <f t="shared" ca="1" si="47"/>
        <v>0</v>
      </c>
      <c r="L51" s="205"/>
      <c r="M51" s="208"/>
      <c r="N51" s="199"/>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2">
        <v>8</v>
      </c>
      <c r="B52" s="191"/>
      <c r="C52" s="191"/>
      <c r="D52" s="191"/>
      <c r="E52" s="215"/>
      <c r="F52" s="191"/>
      <c r="G52" s="194"/>
      <c r="H52" s="203" t="str">
        <f>IF(G52&lt;=0,"",IF(G52&lt;=2,"Muy Baja",IF(G52&lt;=24,"Baja",IF(G52&lt;=500,"Media",IF(G52&lt;=5000,"Alta","Muy Alta")))))</f>
        <v/>
      </c>
      <c r="I52" s="206" t="str">
        <f>IF(H52="","",IF(H52="Muy Baja",0.2,IF(H52="Baja",0.4,IF(H52="Media",0.6,IF(H52="Alta",0.8,IF(H52="Muy Alta",1,))))))</f>
        <v/>
      </c>
      <c r="J52" s="209"/>
      <c r="K52" s="206">
        <f ca="1">IF(NOT(ISERROR(MATCH(J52,'Tabla Impacto'!$B$221:$B$223,0))),'Tabla Impacto'!$F$223&amp;"Por favor no seleccionar los criterios de impacto(Afectación Económica o presupuestal y Pérdida Reputacional)",J52)</f>
        <v>0</v>
      </c>
      <c r="L52" s="203" t="str">
        <f ca="1">IF(OR(K52='Tabla Impacto'!$C$11,K52='Tabla Impacto'!$D$11),"Leve",IF(OR(K52='Tabla Impacto'!$C$12,K52='Tabla Impacto'!$D$12),"Menor",IF(OR(K52='Tabla Impacto'!$C$13,K52='Tabla Impacto'!$D$13),"Moderado",IF(OR(K52='Tabla Impacto'!$C$14,K52='Tabla Impacto'!$D$14),"Mayor",IF(OR(K52='Tabla Impacto'!$C$15,K52='Tabla Impacto'!$D$15),"Catastrófico","")))))</f>
        <v/>
      </c>
      <c r="M52" s="206" t="str">
        <f ca="1">IF(L52="","",IF(L52="Leve",0.2,IF(L52="Menor",0.4,IF(L52="Moderado",0.6,IF(L52="Mayor",0.8,IF(L52="Catastrófico",1,))))))</f>
        <v/>
      </c>
      <c r="N52" s="19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4"/>
      <c r="B57" s="193"/>
      <c r="C57" s="193"/>
      <c r="D57" s="193"/>
      <c r="E57" s="217"/>
      <c r="F57" s="193"/>
      <c r="G57" s="196"/>
      <c r="H57" s="205"/>
      <c r="I57" s="208"/>
      <c r="J57" s="211"/>
      <c r="K57" s="208">
        <f ca="1">IF(NOT(ISERROR(MATCH(J57,_xlfn.ANCHORARRAY(E68),0))),I70&amp;"Por favor no seleccionar los criterios de impacto",J57)</f>
        <v>0</v>
      </c>
      <c r="L57" s="205"/>
      <c r="M57" s="208"/>
      <c r="N57" s="199"/>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2">
        <v>9</v>
      </c>
      <c r="B58" s="191"/>
      <c r="C58" s="191"/>
      <c r="D58" s="191"/>
      <c r="E58" s="215"/>
      <c r="F58" s="191"/>
      <c r="G58" s="194"/>
      <c r="H58" s="203" t="str">
        <f>IF(G58&lt;=0,"",IF(G58&lt;=2,"Muy Baja",IF(G58&lt;=24,"Baja",IF(G58&lt;=500,"Media",IF(G58&lt;=5000,"Alta","Muy Alta")))))</f>
        <v/>
      </c>
      <c r="I58" s="206" t="str">
        <f>IF(H58="","",IF(H58="Muy Baja",0.2,IF(H58="Baja",0.4,IF(H58="Media",0.6,IF(H58="Alta",0.8,IF(H58="Muy Alta",1,))))))</f>
        <v/>
      </c>
      <c r="J58" s="209"/>
      <c r="K58" s="206">
        <f ca="1">IF(NOT(ISERROR(MATCH(J58,'Tabla Impacto'!$B$221:$B$223,0))),'Tabla Impacto'!$F$223&amp;"Por favor no seleccionar los criterios de impacto(Afectación Económica o presupuestal y Pérdida Reputacional)",J58)</f>
        <v>0</v>
      </c>
      <c r="L58" s="203" t="str">
        <f ca="1">IF(OR(K58='Tabla Impacto'!$C$11,K58='Tabla Impacto'!$D$11),"Leve",IF(OR(K58='Tabla Impacto'!$C$12,K58='Tabla Impacto'!$D$12),"Menor",IF(OR(K58='Tabla Impacto'!$C$13,K58='Tabla Impacto'!$D$13),"Moderado",IF(OR(K58='Tabla Impacto'!$C$14,K58='Tabla Impacto'!$D$14),"Mayor",IF(OR(K58='Tabla Impacto'!$C$15,K58='Tabla Impacto'!$D$15),"Catastrófico","")))))</f>
        <v/>
      </c>
      <c r="M58" s="206" t="str">
        <f ca="1">IF(L58="","",IF(L58="Leve",0.2,IF(L58="Menor",0.4,IF(L58="Moderado",0.6,IF(L58="Mayor",0.8,IF(L58="Catastrófico",1,))))))</f>
        <v/>
      </c>
      <c r="N58" s="19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4"/>
      <c r="B63" s="193"/>
      <c r="C63" s="193"/>
      <c r="D63" s="193"/>
      <c r="E63" s="217"/>
      <c r="F63" s="193"/>
      <c r="G63" s="196"/>
      <c r="H63" s="205"/>
      <c r="I63" s="208"/>
      <c r="J63" s="211"/>
      <c r="K63" s="208">
        <f ca="1">IF(NOT(ISERROR(MATCH(J63,_xlfn.ANCHORARRAY(E74),0))),I76&amp;"Por favor no seleccionar los criterios de impacto",J63)</f>
        <v>0</v>
      </c>
      <c r="L63" s="205"/>
      <c r="M63" s="208"/>
      <c r="N63" s="199"/>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2">
        <v>10</v>
      </c>
      <c r="B64" s="191"/>
      <c r="C64" s="191"/>
      <c r="D64" s="191"/>
      <c r="E64" s="215"/>
      <c r="F64" s="191"/>
      <c r="G64" s="194"/>
      <c r="H64" s="203" t="str">
        <f>IF(G64&lt;=0,"",IF(G64&lt;=2,"Muy Baja",IF(G64&lt;=24,"Baja",IF(G64&lt;=500,"Media",IF(G64&lt;=5000,"Alta","Muy Alta")))))</f>
        <v/>
      </c>
      <c r="I64" s="206" t="str">
        <f>IF(H64="","",IF(H64="Muy Baja",0.2,IF(H64="Baja",0.4,IF(H64="Media",0.6,IF(H64="Alta",0.8,IF(H64="Muy Alta",1,))))))</f>
        <v/>
      </c>
      <c r="J64" s="209"/>
      <c r="K64" s="206">
        <f ca="1">IF(NOT(ISERROR(MATCH(J64,'Tabla Impacto'!$B$221:$B$223,0))),'Tabla Impacto'!$F$223&amp;"Por favor no seleccionar los criterios de impacto(Afectación Económica o presupuestal y Pérdida Reputacional)",J64)</f>
        <v>0</v>
      </c>
      <c r="L64" s="203" t="str">
        <f ca="1">IF(OR(K64='Tabla Impacto'!$C$11,K64='Tabla Impacto'!$D$11),"Leve",IF(OR(K64='Tabla Impacto'!$C$12,K64='Tabla Impacto'!$D$12),"Menor",IF(OR(K64='Tabla Impacto'!$C$13,K64='Tabla Impacto'!$D$13),"Moderado",IF(OR(K64='Tabla Impacto'!$C$14,K64='Tabla Impacto'!$D$14),"Mayor",IF(OR(K64='Tabla Impacto'!$C$15,K64='Tabla Impacto'!$D$15),"Catastrófico","")))))</f>
        <v/>
      </c>
      <c r="M64" s="206" t="str">
        <f ca="1">IF(L64="","",IF(L64="Leve",0.2,IF(L64="Menor",0.4,IF(L64="Moderado",0.6,IF(L64="Mayor",0.8,IF(L64="Catastrófico",1,))))))</f>
        <v/>
      </c>
      <c r="N64" s="19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3"/>
      <c r="B68" s="192"/>
      <c r="C68" s="192"/>
      <c r="D68" s="192"/>
      <c r="E68" s="216"/>
      <c r="F68" s="192"/>
      <c r="G68" s="195"/>
      <c r="H68" s="204"/>
      <c r="I68" s="207"/>
      <c r="J68" s="210"/>
      <c r="K68" s="207">
        <f ca="1">IF(NOT(ISERROR(MATCH(J68,_xlfn.ANCHORARRAY(E79),0))),I81&amp;"Por favor no seleccionar los criterios de impacto",J68)</f>
        <v>0</v>
      </c>
      <c r="L68" s="204"/>
      <c r="M68" s="207"/>
      <c r="N68" s="198"/>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4"/>
      <c r="B69" s="193"/>
      <c r="C69" s="193"/>
      <c r="D69" s="193"/>
      <c r="E69" s="217"/>
      <c r="F69" s="193"/>
      <c r="G69" s="196"/>
      <c r="H69" s="205"/>
      <c r="I69" s="208"/>
      <c r="J69" s="211"/>
      <c r="K69" s="208">
        <f ca="1">IF(NOT(ISERROR(MATCH(J69,_xlfn.ANCHORARRAY(E80),0))),I82&amp;"Por favor no seleccionar los criterios de impacto",J69)</f>
        <v>0</v>
      </c>
      <c r="L69" s="205"/>
      <c r="M69" s="208"/>
      <c r="N69" s="199"/>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00" t="s">
        <v>131</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2"/>
    </row>
    <row r="72" spans="1:36" x14ac:dyDescent="0.3">
      <c r="A72" s="1"/>
      <c r="B72" s="24" t="s">
        <v>143</v>
      </c>
      <c r="C72" s="1"/>
      <c r="D72" s="1"/>
      <c r="F72" s="1"/>
    </row>
  </sheetData>
  <dataConsolidate/>
  <mergeCells count="187">
    <mergeCell ref="E16:E18"/>
    <mergeCell ref="E19:E21"/>
    <mergeCell ref="D16:D18"/>
    <mergeCell ref="D19:D21"/>
    <mergeCell ref="F10:F15"/>
    <mergeCell ref="G10:G15"/>
    <mergeCell ref="H10:H15"/>
    <mergeCell ref="A10:A15"/>
    <mergeCell ref="B10:B15"/>
    <mergeCell ref="C10:C15"/>
    <mergeCell ref="D10:D15"/>
    <mergeCell ref="E10:E15"/>
    <mergeCell ref="N10:N15"/>
    <mergeCell ref="I10:I15"/>
    <mergeCell ref="J10:J15"/>
    <mergeCell ref="K10:K15"/>
    <mergeCell ref="L10:L15"/>
    <mergeCell ref="M10:M15"/>
    <mergeCell ref="AA8:AA9"/>
    <mergeCell ref="Y8:Y9"/>
    <mergeCell ref="Z8:Z9"/>
    <mergeCell ref="Q8:Q9"/>
    <mergeCell ref="R8:W8"/>
    <mergeCell ref="G8:G9"/>
    <mergeCell ref="H8:H9"/>
    <mergeCell ref="I8:I9"/>
    <mergeCell ref="L8:L9"/>
    <mergeCell ref="M8:M9"/>
    <mergeCell ref="B8:B9"/>
    <mergeCell ref="N8:N9"/>
    <mergeCell ref="J8:J9"/>
    <mergeCell ref="K8:K9"/>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K58:K63"/>
    <mergeCell ref="L58:L63"/>
    <mergeCell ref="A58:A63"/>
    <mergeCell ref="B58:B63"/>
    <mergeCell ref="C58:C63"/>
    <mergeCell ref="D58:D63"/>
    <mergeCell ref="E58:E63"/>
    <mergeCell ref="F58:F63"/>
    <mergeCell ref="G58:G63"/>
    <mergeCell ref="H58:H63"/>
    <mergeCell ref="I58:I63"/>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s>
  <conditionalFormatting sqref="H10 H16">
    <cfRule type="cellIs" dxfId="1323" priority="319" operator="equal">
      <formula>"Muy Alta"</formula>
    </cfRule>
    <cfRule type="cellIs" dxfId="1322" priority="320" operator="equal">
      <formula>"Alta"</formula>
    </cfRule>
    <cfRule type="cellIs" dxfId="1321" priority="321" operator="equal">
      <formula>"Media"</formula>
    </cfRule>
    <cfRule type="cellIs" dxfId="1320" priority="322" operator="equal">
      <formula>"Baja"</formula>
    </cfRule>
    <cfRule type="cellIs" dxfId="1319" priority="323" operator="equal">
      <formula>"Muy Baja"</formula>
    </cfRule>
  </conditionalFormatting>
  <conditionalFormatting sqref="H22">
    <cfRule type="cellIs" dxfId="1318" priority="221" operator="equal">
      <formula>"Muy Alta"</formula>
    </cfRule>
    <cfRule type="cellIs" dxfId="1317" priority="222" operator="equal">
      <formula>"Alta"</formula>
    </cfRule>
    <cfRule type="cellIs" dxfId="1316" priority="223" operator="equal">
      <formula>"Media"</formula>
    </cfRule>
    <cfRule type="cellIs" dxfId="1315" priority="224" operator="equal">
      <formula>"Baja"</formula>
    </cfRule>
    <cfRule type="cellIs" dxfId="1314" priority="225" operator="equal">
      <formula>"Muy Baja"</formula>
    </cfRule>
  </conditionalFormatting>
  <conditionalFormatting sqref="H28">
    <cfRule type="cellIs" dxfId="1313" priority="193" operator="equal">
      <formula>"Muy Alta"</formula>
    </cfRule>
    <cfRule type="cellIs" dxfId="1312" priority="194" operator="equal">
      <formula>"Alta"</formula>
    </cfRule>
    <cfRule type="cellIs" dxfId="1311" priority="195" operator="equal">
      <formula>"Media"</formula>
    </cfRule>
    <cfRule type="cellIs" dxfId="1310" priority="196" operator="equal">
      <formula>"Baja"</formula>
    </cfRule>
    <cfRule type="cellIs" dxfId="1309" priority="197" operator="equal">
      <formula>"Muy Baja"</formula>
    </cfRule>
  </conditionalFormatting>
  <conditionalFormatting sqref="H34">
    <cfRule type="cellIs" dxfId="1308" priority="165" operator="equal">
      <formula>"Muy Alta"</formula>
    </cfRule>
    <cfRule type="cellIs" dxfId="1307" priority="166" operator="equal">
      <formula>"Alta"</formula>
    </cfRule>
    <cfRule type="cellIs" dxfId="1306" priority="167" operator="equal">
      <formula>"Media"</formula>
    </cfRule>
    <cfRule type="cellIs" dxfId="1305" priority="168" operator="equal">
      <formula>"Baja"</formula>
    </cfRule>
    <cfRule type="cellIs" dxfId="1304" priority="169" operator="equal">
      <formula>"Muy Baja"</formula>
    </cfRule>
  </conditionalFormatting>
  <conditionalFormatting sqref="H40">
    <cfRule type="cellIs" dxfId="1303" priority="137" operator="equal">
      <formula>"Muy Alta"</formula>
    </cfRule>
    <cfRule type="cellIs" dxfId="1302" priority="138" operator="equal">
      <formula>"Alta"</formula>
    </cfRule>
    <cfRule type="cellIs" dxfId="1301" priority="139" operator="equal">
      <formula>"Media"</formula>
    </cfRule>
    <cfRule type="cellIs" dxfId="1300" priority="140" operator="equal">
      <formula>"Baja"</formula>
    </cfRule>
    <cfRule type="cellIs" dxfId="1299" priority="141" operator="equal">
      <formula>"Muy Baja"</formula>
    </cfRule>
  </conditionalFormatting>
  <conditionalFormatting sqref="H46">
    <cfRule type="cellIs" dxfId="1298" priority="109" operator="equal">
      <formula>"Muy Alta"</formula>
    </cfRule>
    <cfRule type="cellIs" dxfId="1297" priority="110" operator="equal">
      <formula>"Alta"</formula>
    </cfRule>
    <cfRule type="cellIs" dxfId="1296" priority="111" operator="equal">
      <formula>"Media"</formula>
    </cfRule>
    <cfRule type="cellIs" dxfId="1295" priority="112" operator="equal">
      <formula>"Baja"</formula>
    </cfRule>
    <cfRule type="cellIs" dxfId="1294" priority="113" operator="equal">
      <formula>"Muy Baja"</formula>
    </cfRule>
  </conditionalFormatting>
  <conditionalFormatting sqref="H52">
    <cfRule type="cellIs" dxfId="1293" priority="81" operator="equal">
      <formula>"Muy Alta"</formula>
    </cfRule>
    <cfRule type="cellIs" dxfId="1292" priority="82" operator="equal">
      <formula>"Alta"</formula>
    </cfRule>
    <cfRule type="cellIs" dxfId="1291" priority="83" operator="equal">
      <formula>"Media"</formula>
    </cfRule>
    <cfRule type="cellIs" dxfId="1290" priority="84" operator="equal">
      <formula>"Baja"</formula>
    </cfRule>
    <cfRule type="cellIs" dxfId="1289" priority="85" operator="equal">
      <formula>"Muy Baja"</formula>
    </cfRule>
  </conditionalFormatting>
  <conditionalFormatting sqref="H58">
    <cfRule type="cellIs" dxfId="1288" priority="53" operator="equal">
      <formula>"Muy Alta"</formula>
    </cfRule>
    <cfRule type="cellIs" dxfId="1287" priority="54" operator="equal">
      <formula>"Alta"</formula>
    </cfRule>
    <cfRule type="cellIs" dxfId="1286" priority="55" operator="equal">
      <formula>"Media"</formula>
    </cfRule>
    <cfRule type="cellIs" dxfId="1285" priority="56" operator="equal">
      <formula>"Baja"</formula>
    </cfRule>
    <cfRule type="cellIs" dxfId="1284" priority="57" operator="equal">
      <formula>"Muy Baja"</formula>
    </cfRule>
  </conditionalFormatting>
  <conditionalFormatting sqref="H64">
    <cfRule type="cellIs" dxfId="1283" priority="25" operator="equal">
      <formula>"Muy Alta"</formula>
    </cfRule>
    <cfRule type="cellIs" dxfId="1282" priority="26" operator="equal">
      <formula>"Alta"</formula>
    </cfRule>
    <cfRule type="cellIs" dxfId="1281" priority="27" operator="equal">
      <formula>"Media"</formula>
    </cfRule>
    <cfRule type="cellIs" dxfId="1280" priority="28" operator="equal">
      <formula>"Baja"</formula>
    </cfRule>
    <cfRule type="cellIs" dxfId="1279" priority="29" operator="equal">
      <formula>"Muy Baja"</formula>
    </cfRule>
  </conditionalFormatting>
  <conditionalFormatting sqref="K10:K69">
    <cfRule type="containsText" dxfId="1278" priority="1" operator="containsText" text="❌">
      <formula>NOT(ISERROR(SEARCH("❌",K10)))</formula>
    </cfRule>
  </conditionalFormatting>
  <conditionalFormatting sqref="L10 L16 L22 L28 L34 L40 L46 L52 L58 L64">
    <cfRule type="cellIs" dxfId="1277" priority="314" operator="equal">
      <formula>"Catastrófico"</formula>
    </cfRule>
    <cfRule type="cellIs" dxfId="1276" priority="315" operator="equal">
      <formula>"Mayor"</formula>
    </cfRule>
    <cfRule type="cellIs" dxfId="1275" priority="316" operator="equal">
      <formula>"Moderado"</formula>
    </cfRule>
    <cfRule type="cellIs" dxfId="1274" priority="317" operator="equal">
      <formula>"Menor"</formula>
    </cfRule>
    <cfRule type="cellIs" dxfId="1273" priority="318" operator="equal">
      <formula>"Leve"</formula>
    </cfRule>
  </conditionalFormatting>
  <conditionalFormatting sqref="N10">
    <cfRule type="cellIs" dxfId="1272" priority="310" operator="equal">
      <formula>"Extremo"</formula>
    </cfRule>
    <cfRule type="cellIs" dxfId="1271" priority="311" operator="equal">
      <formula>"Alto"</formula>
    </cfRule>
    <cfRule type="cellIs" dxfId="1270" priority="312" operator="equal">
      <formula>"Moderado"</formula>
    </cfRule>
    <cfRule type="cellIs" dxfId="1269" priority="313" operator="equal">
      <formula>"Bajo"</formula>
    </cfRule>
  </conditionalFormatting>
  <conditionalFormatting sqref="N16">
    <cfRule type="cellIs" dxfId="1268" priority="240" operator="equal">
      <formula>"Extremo"</formula>
    </cfRule>
    <cfRule type="cellIs" dxfId="1267" priority="241" operator="equal">
      <formula>"Alto"</formula>
    </cfRule>
    <cfRule type="cellIs" dxfId="1266" priority="242" operator="equal">
      <formula>"Moderado"</formula>
    </cfRule>
    <cfRule type="cellIs" dxfId="1265" priority="243" operator="equal">
      <formula>"Bajo"</formula>
    </cfRule>
  </conditionalFormatting>
  <conditionalFormatting sqref="N22">
    <cfRule type="cellIs" dxfId="1264" priority="212" operator="equal">
      <formula>"Extremo"</formula>
    </cfRule>
    <cfRule type="cellIs" dxfId="1263" priority="213" operator="equal">
      <formula>"Alto"</formula>
    </cfRule>
    <cfRule type="cellIs" dxfId="1262" priority="214" operator="equal">
      <formula>"Moderado"</formula>
    </cfRule>
    <cfRule type="cellIs" dxfId="1261" priority="215" operator="equal">
      <formula>"Bajo"</formula>
    </cfRule>
  </conditionalFormatting>
  <conditionalFormatting sqref="N28">
    <cfRule type="cellIs" dxfId="1260" priority="184" operator="equal">
      <formula>"Extremo"</formula>
    </cfRule>
    <cfRule type="cellIs" dxfId="1259" priority="185" operator="equal">
      <formula>"Alto"</formula>
    </cfRule>
    <cfRule type="cellIs" dxfId="1258" priority="186" operator="equal">
      <formula>"Moderado"</formula>
    </cfRule>
    <cfRule type="cellIs" dxfId="1257" priority="187" operator="equal">
      <formula>"Bajo"</formula>
    </cfRule>
  </conditionalFormatting>
  <conditionalFormatting sqref="N34">
    <cfRule type="cellIs" dxfId="1256" priority="156" operator="equal">
      <formula>"Extremo"</formula>
    </cfRule>
    <cfRule type="cellIs" dxfId="1255" priority="157" operator="equal">
      <formula>"Alto"</formula>
    </cfRule>
    <cfRule type="cellIs" dxfId="1254" priority="158" operator="equal">
      <formula>"Moderado"</formula>
    </cfRule>
    <cfRule type="cellIs" dxfId="1253" priority="159" operator="equal">
      <formula>"Bajo"</formula>
    </cfRule>
  </conditionalFormatting>
  <conditionalFormatting sqref="N40">
    <cfRule type="cellIs" dxfId="1252" priority="128" operator="equal">
      <formula>"Extremo"</formula>
    </cfRule>
    <cfRule type="cellIs" dxfId="1251" priority="129" operator="equal">
      <formula>"Alto"</formula>
    </cfRule>
    <cfRule type="cellIs" dxfId="1250" priority="130" operator="equal">
      <formula>"Moderado"</formula>
    </cfRule>
    <cfRule type="cellIs" dxfId="1249" priority="131" operator="equal">
      <formula>"Bajo"</formula>
    </cfRule>
  </conditionalFormatting>
  <conditionalFormatting sqref="N46">
    <cfRule type="cellIs" dxfId="1248" priority="100" operator="equal">
      <formula>"Extremo"</formula>
    </cfRule>
    <cfRule type="cellIs" dxfId="1247" priority="101" operator="equal">
      <formula>"Alto"</formula>
    </cfRule>
    <cfRule type="cellIs" dxfId="1246" priority="102" operator="equal">
      <formula>"Moderado"</formula>
    </cfRule>
    <cfRule type="cellIs" dxfId="1245" priority="103" operator="equal">
      <formula>"Bajo"</formula>
    </cfRule>
  </conditionalFormatting>
  <conditionalFormatting sqref="N52">
    <cfRule type="cellIs" dxfId="1244" priority="72" operator="equal">
      <formula>"Extremo"</formula>
    </cfRule>
    <cfRule type="cellIs" dxfId="1243" priority="73" operator="equal">
      <formula>"Alto"</formula>
    </cfRule>
    <cfRule type="cellIs" dxfId="1242" priority="74" operator="equal">
      <formula>"Moderado"</formula>
    </cfRule>
    <cfRule type="cellIs" dxfId="1241" priority="75" operator="equal">
      <formula>"Bajo"</formula>
    </cfRule>
  </conditionalFormatting>
  <conditionalFormatting sqref="N58">
    <cfRule type="cellIs" dxfId="1240" priority="44" operator="equal">
      <formula>"Extremo"</formula>
    </cfRule>
    <cfRule type="cellIs" dxfId="1239" priority="45" operator="equal">
      <formula>"Alto"</formula>
    </cfRule>
    <cfRule type="cellIs" dxfId="1238" priority="46" operator="equal">
      <formula>"Moderado"</formula>
    </cfRule>
    <cfRule type="cellIs" dxfId="1237" priority="47" operator="equal">
      <formula>"Bajo"</formula>
    </cfRule>
  </conditionalFormatting>
  <conditionalFormatting sqref="N64">
    <cfRule type="cellIs" dxfId="1236" priority="16" operator="equal">
      <formula>"Extremo"</formula>
    </cfRule>
    <cfRule type="cellIs" dxfId="1235" priority="17" operator="equal">
      <formula>"Alto"</formula>
    </cfRule>
    <cfRule type="cellIs" dxfId="1234" priority="18" operator="equal">
      <formula>"Moderado"</formula>
    </cfRule>
    <cfRule type="cellIs" dxfId="1233" priority="19" operator="equal">
      <formula>"Bajo"</formula>
    </cfRule>
  </conditionalFormatting>
  <conditionalFormatting sqref="Y10:Y69">
    <cfRule type="cellIs" dxfId="1232" priority="11" operator="equal">
      <formula>"Muy Alta"</formula>
    </cfRule>
    <cfRule type="cellIs" dxfId="1231" priority="12" operator="equal">
      <formula>"Alta"</formula>
    </cfRule>
    <cfRule type="cellIs" dxfId="1230" priority="13" operator="equal">
      <formula>"Media"</formula>
    </cfRule>
    <cfRule type="cellIs" dxfId="1229" priority="14" operator="equal">
      <formula>"Baja"</formula>
    </cfRule>
    <cfRule type="cellIs" dxfId="1228" priority="15" operator="equal">
      <formula>"Muy Baja"</formula>
    </cfRule>
  </conditionalFormatting>
  <conditionalFormatting sqref="AA10:AA69">
    <cfRule type="cellIs" dxfId="1227" priority="6" operator="equal">
      <formula>"Catastrófico"</formula>
    </cfRule>
    <cfRule type="cellIs" dxfId="1226" priority="7" operator="equal">
      <formula>"Mayor"</formula>
    </cfRule>
    <cfRule type="cellIs" dxfId="1225" priority="8" operator="equal">
      <formula>"Moderado"</formula>
    </cfRule>
    <cfRule type="cellIs" dxfId="1224" priority="9" operator="equal">
      <formula>"Menor"</formula>
    </cfRule>
    <cfRule type="cellIs" dxfId="1223" priority="10" operator="equal">
      <formula>"Leve"</formula>
    </cfRule>
  </conditionalFormatting>
  <conditionalFormatting sqref="AC10:AC69">
    <cfRule type="cellIs" dxfId="1222" priority="2" operator="equal">
      <formula>"Extremo"</formula>
    </cfRule>
    <cfRule type="cellIs" dxfId="1221" priority="3" operator="equal">
      <formula>"Alto"</formula>
    </cfRule>
    <cfRule type="cellIs" dxfId="1220" priority="4" operator="equal">
      <formula>"Moderado"</formula>
    </cfRule>
    <cfRule type="cellIs" dxfId="1219" priority="5" operator="equal">
      <formula>"Bajo"</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200-000000000000}">
          <x14:formula1>
            <xm:f>'Tabla Valoración controles'!$D$4:$D$6</xm:f>
          </x14:formula1>
          <xm:sqref>R10:R69</xm:sqref>
        </x14:dataValidation>
        <x14:dataValidation type="list" allowBlank="1" showInputMessage="1" showErrorMessage="1" xr:uid="{00000000-0002-0000-0200-000001000000}">
          <x14:formula1>
            <xm:f>'Tabla Valoración controles'!$D$7:$D$8</xm:f>
          </x14:formula1>
          <xm:sqref>S10:S69</xm:sqref>
        </x14:dataValidation>
        <x14:dataValidation type="list" allowBlank="1" showInputMessage="1" showErrorMessage="1" xr:uid="{00000000-0002-0000-0200-000002000000}">
          <x14:formula1>
            <xm:f>'Tabla Valoración controles'!$D$9:$D$10</xm:f>
          </x14:formula1>
          <xm:sqref>U10:U69</xm:sqref>
        </x14:dataValidation>
        <x14:dataValidation type="list" allowBlank="1" showInputMessage="1" showErrorMessage="1" xr:uid="{00000000-0002-0000-0200-000003000000}">
          <x14:formula1>
            <xm:f>'Tabla Valoración controles'!$D$11:$D$12</xm:f>
          </x14:formula1>
          <xm:sqref>V10:V69</xm:sqref>
        </x14:dataValidation>
        <x14:dataValidation type="list" allowBlank="1" showInputMessage="1" showErrorMessage="1" xr:uid="{00000000-0002-0000-02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200-000005000000}">
          <x14:formula1>
            <xm:f>'Tabla Valoración controles'!$D$13:$D$14</xm:f>
          </x14:formula1>
          <xm:sqref>W10:W69</xm:sqref>
        </x14:dataValidation>
        <x14:dataValidation type="list" allowBlank="1" showInputMessage="1" showErrorMessage="1" xr:uid="{00000000-0002-0000-0200-000006000000}">
          <x14:formula1>
            <xm:f>'Opciones Tratamiento'!$B$13:$B$19</xm:f>
          </x14:formula1>
          <xm:sqref>F10:F69</xm:sqref>
        </x14:dataValidation>
        <x14:dataValidation type="list" allowBlank="1" showInputMessage="1" showErrorMessage="1" xr:uid="{00000000-0002-0000-0200-000007000000}">
          <x14:formula1>
            <xm:f>'Opciones Tratamiento'!$E$2:$E$4</xm:f>
          </x14:formula1>
          <xm:sqref>B10:B69</xm:sqref>
        </x14:dataValidation>
        <x14:dataValidation type="list" allowBlank="1" showInputMessage="1" showErrorMessage="1" xr:uid="{00000000-0002-0000-0200-000008000000}">
          <x14:formula1>
            <xm:f>'Opciones Tratamiento'!$B$2:$B$5</xm:f>
          </x14:formula1>
          <xm:sqref>AD10:AD69</xm:sqref>
        </x14:dataValidation>
        <x14:dataValidation type="list" allowBlank="1" showInputMessage="1" showErrorMessage="1" xr:uid="{00000000-0002-0000-02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2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2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2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2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200-00000E000000}">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BP72"/>
  <sheetViews>
    <sheetView topLeftCell="L8" zoomScale="59" zoomScaleNormal="59" workbookViewId="0">
      <selection activeCell="AH13" sqref="AH13"/>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331</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328</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329</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132</v>
      </c>
      <c r="C10" s="191" t="s">
        <v>232</v>
      </c>
      <c r="D10" s="191" t="s">
        <v>229</v>
      </c>
      <c r="E10" s="215" t="s">
        <v>233</v>
      </c>
      <c r="F10" s="191" t="s">
        <v>128</v>
      </c>
      <c r="G10" s="194">
        <v>3</v>
      </c>
      <c r="H10" s="203" t="str">
        <f>IF(G10&lt;=0,"",IF(G10&lt;=2,"Muy Baja",IF(G10&lt;=24,"Baja",IF(G10&lt;=500,"Media",IF(G10&lt;=5000,"Alta","Muy Alta")))))</f>
        <v>Baja</v>
      </c>
      <c r="I10" s="206">
        <f>IF(H10="","",IF(H10="Muy Baja",0.2,IF(H10="Baja",0.4,IF(H10="Media",0.6,IF(H10="Alta",0.8,IF(H10="Muy Alta",1,))))))</f>
        <v>0.4</v>
      </c>
      <c r="J10" s="209" t="s">
        <v>154</v>
      </c>
      <c r="K10" s="206"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03" t="str">
        <f ca="1">IF(OR(K10='Tabla Impacto'!$C$11,K10='Tabla Impacto'!$D$11),"Leve",IF(OR(K10='Tabla Impacto'!$C$12,K10='Tabla Impacto'!$D$12),"Menor",IF(OR(K10='Tabla Impacto'!$C$13,K10='Tabla Impacto'!$D$13),"Moderado",IF(OR(K10='Tabla Impacto'!$C$14,K10='Tabla Impacto'!$D$14),"Mayor",IF(OR(K10='Tabla Impacto'!$C$15,K10='Tabla Impacto'!$D$15),"Catastrófico","")))))</f>
        <v>Menor</v>
      </c>
      <c r="M10" s="206">
        <f ca="1">IF(L10="","",IF(L10="Leve",0.2,IF(L10="Menor",0.4,IF(L10="Moderado",0.6,IF(L10="Mayor",0.8,IF(L10="Catastrófico",1,))))))</f>
        <v>0.4</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234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251</v>
      </c>
      <c r="AF10" s="133" t="s">
        <v>250</v>
      </c>
      <c r="AG10" s="135">
        <v>45291</v>
      </c>
      <c r="AH10" s="135">
        <v>45265</v>
      </c>
      <c r="AI10" s="133" t="s">
        <v>365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2</v>
      </c>
      <c r="P11" s="124" t="s">
        <v>235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Menor</v>
      </c>
      <c r="AB11" s="130">
        <f ca="1">IFERROR(IF(AND(Q10="Impacto",Q11="Impacto"),(AB10-(+AB10*T11)),IF(Q11="Impacto",($M$10-(+$M$10*T11)),IF(Q11="Probabilidad",AB10,""))),"")</f>
        <v>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2" t="s">
        <v>136</v>
      </c>
      <c r="AE11" s="133" t="s">
        <v>252</v>
      </c>
      <c r="AF11" s="133" t="s">
        <v>250</v>
      </c>
      <c r="AG11" s="135">
        <v>45291</v>
      </c>
      <c r="AH11" s="135">
        <v>45265</v>
      </c>
      <c r="AI11" s="133" t="s">
        <v>318</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3</v>
      </c>
      <c r="P12" s="136" t="s">
        <v>236</v>
      </c>
      <c r="Q12" s="125" t="str">
        <f>IF(OR(R12="Preventivo",R12="Detectivo"),"Probabilidad",IF(R12="Correctivo","Impacto",""))</f>
        <v>Probabilidad</v>
      </c>
      <c r="R12" s="126" t="s">
        <v>14</v>
      </c>
      <c r="S12" s="126" t="s">
        <v>9</v>
      </c>
      <c r="T12" s="127" t="str">
        <f t="shared" si="0"/>
        <v>40%</v>
      </c>
      <c r="U12" s="126" t="s">
        <v>20</v>
      </c>
      <c r="V12" s="126" t="s">
        <v>23</v>
      </c>
      <c r="W12" s="126" t="s">
        <v>120</v>
      </c>
      <c r="X12" s="128">
        <f>IFERROR(IF(AND(Q11="Probabilidad",Q12="Probabilidad"),(Z11-(+Z11*T12)),IF(AND(Q11="Impacto",Q12="Probabilidad"),(Z10-(+Z10*T12)),IF(Q12="Impacto",Z11,""))),"")</f>
        <v>8.6399999999999991E-2</v>
      </c>
      <c r="Y12" s="129" t="str">
        <f t="shared" si="1"/>
        <v>Muy Baja</v>
      </c>
      <c r="Z12" s="130">
        <f t="shared" si="2"/>
        <v>8.6399999999999991E-2</v>
      </c>
      <c r="AA12" s="129" t="str">
        <f t="shared" ca="1" si="3"/>
        <v>Menor</v>
      </c>
      <c r="AB12" s="130">
        <f ca="1">IFERROR(IF(AND(Q11="Impacto",Q12="Impacto"),(AB11-(+AB11*T12)),IF(AND(Q11="Probabilidad",Q12="Impacto"),(AB10-(+AB10*T12)),IF(Q12="Probabilidad",AB11,""))),"")</f>
        <v>0.4</v>
      </c>
      <c r="AC12" s="131" t="str">
        <f t="shared" ca="1" si="4"/>
        <v>Bajo</v>
      </c>
      <c r="AD12" s="132" t="s">
        <v>136</v>
      </c>
      <c r="AE12" s="133" t="s">
        <v>253</v>
      </c>
      <c r="AF12" s="133" t="s">
        <v>254</v>
      </c>
      <c r="AG12" s="135">
        <v>45291</v>
      </c>
      <c r="AH12" s="135">
        <v>45265</v>
      </c>
      <c r="AI12" s="133" t="s">
        <v>387</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4</v>
      </c>
      <c r="P13" s="124" t="s">
        <v>237</v>
      </c>
      <c r="Q13" s="125" t="str">
        <f t="shared" ref="Q13:Q15" si="5">IF(OR(R13="Preventivo",R13="Detectivo"),"Probabilidad",IF(R13="Correctivo","Impacto",""))</f>
        <v>Probabilidad</v>
      </c>
      <c r="R13" s="126" t="s">
        <v>14</v>
      </c>
      <c r="S13" s="126" t="s">
        <v>9</v>
      </c>
      <c r="T13" s="127" t="str">
        <f t="shared" si="0"/>
        <v>40%</v>
      </c>
      <c r="U13" s="126" t="s">
        <v>19</v>
      </c>
      <c r="V13" s="126" t="s">
        <v>22</v>
      </c>
      <c r="W13" s="126" t="s">
        <v>119</v>
      </c>
      <c r="X13" s="128">
        <f t="shared" ref="X13:X15" si="6">IFERROR(IF(AND(Q12="Probabilidad",Q13="Probabilidad"),(Z12-(+Z12*T13)),IF(AND(Q12="Impacto",Q13="Probabilidad"),(Z11-(+Z11*T13)),IF(Q13="Impacto",Z12,""))),"")</f>
        <v>5.183999999999999E-2</v>
      </c>
      <c r="Y13" s="129" t="str">
        <f t="shared" si="1"/>
        <v>Muy Baja</v>
      </c>
      <c r="Z13" s="130">
        <f t="shared" si="2"/>
        <v>5.183999999999999E-2</v>
      </c>
      <c r="AA13" s="129" t="str">
        <f t="shared" ca="1" si="3"/>
        <v>Menor</v>
      </c>
      <c r="AB13" s="130">
        <f t="shared" ref="AB13:AB15" ca="1" si="7">IFERROR(IF(AND(Q12="Impacto",Q13="Impacto"),(AB12-(+AB12*T13)),IF(AND(Q12="Probabilidad",Q13="Impacto"),(AB11-(+AB11*T13)),IF(Q13="Probabilidad",AB12,""))),"")</f>
        <v>0.4</v>
      </c>
      <c r="AC13" s="131" t="str">
        <f ca="1">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2" t="s">
        <v>136</v>
      </c>
      <c r="AE13" s="133" t="s">
        <v>255</v>
      </c>
      <c r="AF13" s="133" t="s">
        <v>250</v>
      </c>
      <c r="AG13" s="135">
        <v>45291</v>
      </c>
      <c r="AH13" s="135">
        <v>45265</v>
      </c>
      <c r="AI13" s="133" t="s">
        <v>388</v>
      </c>
      <c r="AJ13" s="134"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4"/>
      <c r="B15" s="193"/>
      <c r="C15" s="193"/>
      <c r="D15" s="193"/>
      <c r="E15" s="217"/>
      <c r="F15" s="193"/>
      <c r="G15" s="196"/>
      <c r="H15" s="205"/>
      <c r="I15" s="208"/>
      <c r="J15" s="211"/>
      <c r="K15" s="208">
        <f ca="1">IF(NOT(ISERROR(MATCH(J15,_xlfn.ANCHORARRAY(E26),0))),I28&amp;"Por favor no seleccionar los criterios de impacto",J15)</f>
        <v>0</v>
      </c>
      <c r="L15" s="205"/>
      <c r="M15" s="208"/>
      <c r="N15" s="199"/>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2">
        <v>2</v>
      </c>
      <c r="B16" s="191"/>
      <c r="C16" s="191"/>
      <c r="D16" s="250"/>
      <c r="E16" s="250"/>
      <c r="F16" s="191"/>
      <c r="G16" s="194"/>
      <c r="H16" s="203" t="str">
        <f>IF(G16&lt;=0,"",IF(G16&lt;=2,"Muy Baja",IF(G16&lt;=24,"Baja",IF(G16&lt;=500,"Media",IF(G16&lt;=5000,"Alta","Muy Alta")))))</f>
        <v/>
      </c>
      <c r="I16" s="206" t="str">
        <f>IF(H16="","",IF(H16="Muy Baja",0.2,IF(H16="Baja",0.4,IF(H16="Media",0.6,IF(H16="Alta",0.8,IF(H16="Muy Alta",1,))))))</f>
        <v/>
      </c>
      <c r="J16" s="209"/>
      <c r="K16" s="206">
        <f ca="1">IF(NOT(ISERROR(MATCH(J16,'Tabla Impacto'!$B$221:$B$223,0))),'Tabla Impacto'!$F$223&amp;"Por favor no seleccionar los criterios de impacto(Afectación Económica o presupuestal y Pérdida Reputacional)",J16)</f>
        <v>0</v>
      </c>
      <c r="L16" s="203" t="str">
        <f ca="1">IF(OR(K16='Tabla Impacto'!$C$11,K16='Tabla Impacto'!$D$11),"Leve",IF(OR(K16='Tabla Impacto'!$C$12,K16='Tabla Impacto'!$D$12),"Menor",IF(OR(K16='Tabla Impacto'!$C$13,K16='Tabla Impacto'!$D$13),"Moderado",IF(OR(K16='Tabla Impacto'!$C$14,K16='Tabla Impacto'!$D$14),"Mayor",IF(OR(K16='Tabla Impacto'!$C$15,K16='Tabla Impacto'!$D$15),"Catastrófico","")))))</f>
        <v/>
      </c>
      <c r="M16" s="206" t="str">
        <f ca="1">IF(L16="","",IF(L16="Leve",0.2,IF(L16="Menor",0.4,IF(L16="Moderado",0.6,IF(L16="Mayor",0.8,IF(L16="Catastrófico",1,))))))</f>
        <v/>
      </c>
      <c r="N16" s="197"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251"/>
      <c r="E17" s="251"/>
      <c r="F17" s="192"/>
      <c r="G17" s="195"/>
      <c r="H17" s="204"/>
      <c r="I17" s="207"/>
      <c r="J17" s="210"/>
      <c r="K17" s="207">
        <f ca="1">IF(NOT(ISERROR(MATCH(J17,_xlfn.ANCHORARRAY(E28),0))),I30&amp;"Por favor no seleccionar los criterios de impacto",J17)</f>
        <v>0</v>
      </c>
      <c r="L17" s="204"/>
      <c r="M17" s="207"/>
      <c r="N17" s="198"/>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251"/>
      <c r="E18" s="251"/>
      <c r="F18" s="192"/>
      <c r="G18" s="195"/>
      <c r="H18" s="204"/>
      <c r="I18" s="207"/>
      <c r="J18" s="210"/>
      <c r="K18" s="207">
        <f ca="1">IF(NOT(ISERROR(MATCH(J18,_xlfn.ANCHORARRAY(E29),0))),I31&amp;"Por favor no seleccionar los criterios de impacto",J18)</f>
        <v>0</v>
      </c>
      <c r="L18" s="204"/>
      <c r="M18" s="207"/>
      <c r="N18" s="198"/>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250"/>
      <c r="E19" s="250"/>
      <c r="F19" s="192"/>
      <c r="G19" s="195"/>
      <c r="H19" s="204"/>
      <c r="I19" s="207"/>
      <c r="J19" s="210"/>
      <c r="K19" s="207">
        <f ca="1">IF(NOT(ISERROR(MATCH(J19,_xlfn.ANCHORARRAY(E30),0))),I32&amp;"Por favor no seleccionar los criterios de impacto",J19)</f>
        <v>0</v>
      </c>
      <c r="L19" s="204"/>
      <c r="M19" s="207"/>
      <c r="N19" s="198"/>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251"/>
      <c r="E20" s="251"/>
      <c r="F20" s="192"/>
      <c r="G20" s="195"/>
      <c r="H20" s="204"/>
      <c r="I20" s="207"/>
      <c r="J20" s="210"/>
      <c r="K20" s="207">
        <f ca="1">IF(NOT(ISERROR(MATCH(J20,_xlfn.ANCHORARRAY(E31),0))),I33&amp;"Por favor no seleccionar los criterios de impacto",J20)</f>
        <v>0</v>
      </c>
      <c r="L20" s="204"/>
      <c r="M20" s="207"/>
      <c r="N20" s="198"/>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4"/>
      <c r="B21" s="193"/>
      <c r="C21" s="193"/>
      <c r="D21" s="251"/>
      <c r="E21" s="251"/>
      <c r="F21" s="193"/>
      <c r="G21" s="196"/>
      <c r="H21" s="205"/>
      <c r="I21" s="208"/>
      <c r="J21" s="211"/>
      <c r="K21" s="208">
        <f ca="1">IF(NOT(ISERROR(MATCH(J21,_xlfn.ANCHORARRAY(E32),0))),I34&amp;"Por favor no seleccionar los criterios de impacto",J21)</f>
        <v>0</v>
      </c>
      <c r="L21" s="205"/>
      <c r="M21" s="208"/>
      <c r="N21" s="199"/>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2">
        <v>3</v>
      </c>
      <c r="B22" s="191"/>
      <c r="C22" s="191"/>
      <c r="D22" s="191"/>
      <c r="E22" s="215"/>
      <c r="F22" s="191"/>
      <c r="G22" s="194"/>
      <c r="H22" s="203" t="str">
        <f>IF(G22&lt;=0,"",IF(G22&lt;=2,"Muy Baja",IF(G22&lt;=24,"Baja",IF(G22&lt;=500,"Media",IF(G22&lt;=5000,"Alta","Muy Alta")))))</f>
        <v/>
      </c>
      <c r="I22" s="206" t="str">
        <f>IF(H22="","",IF(H22="Muy Baja",0.2,IF(H22="Baja",0.4,IF(H22="Media",0.6,IF(H22="Alta",0.8,IF(H22="Muy Alta",1,))))))</f>
        <v/>
      </c>
      <c r="J22" s="209"/>
      <c r="K22" s="206">
        <f ca="1">IF(NOT(ISERROR(MATCH(J22,'Tabla Impacto'!$B$221:$B$223,0))),'Tabla Impacto'!$F$223&amp;"Por favor no seleccionar los criterios de impacto(Afectación Económica o presupuestal y Pérdida Reputacional)",J22)</f>
        <v>0</v>
      </c>
      <c r="L22" s="203" t="str">
        <f ca="1">IF(OR(K22='Tabla Impacto'!$C$11,K22='Tabla Impacto'!$D$11),"Leve",IF(OR(K22='Tabla Impacto'!$C$12,K22='Tabla Impacto'!$D$12),"Menor",IF(OR(K22='Tabla Impacto'!$C$13,K22='Tabla Impacto'!$D$13),"Moderado",IF(OR(K22='Tabla Impacto'!$C$14,K22='Tabla Impacto'!$D$14),"Mayor",IF(OR(K22='Tabla Impacto'!$C$15,K22='Tabla Impacto'!$D$15),"Catastrófico","")))))</f>
        <v/>
      </c>
      <c r="M22" s="206" t="str">
        <f ca="1">IF(L22="","",IF(L22="Leve",0.2,IF(L22="Menor",0.4,IF(L22="Moderado",0.6,IF(L22="Mayor",0.8,IF(L22="Catastrófico",1,))))))</f>
        <v/>
      </c>
      <c r="N22" s="197"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ref="K23:K27" ca="1" si="15">IF(NOT(ISERROR(MATCH(J23,_xlfn.ANCHORARRAY(E34),0))),I36&amp;"Por favor no seleccionar los criterios de impacto",J23)</f>
        <v>0</v>
      </c>
      <c r="L23" s="204"/>
      <c r="M23" s="207"/>
      <c r="N23" s="198"/>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15"/>
        <v>0</v>
      </c>
      <c r="L26" s="204"/>
      <c r="M26" s="207"/>
      <c r="N26" s="198"/>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4"/>
      <c r="B27" s="193"/>
      <c r="C27" s="193"/>
      <c r="D27" s="193"/>
      <c r="E27" s="217"/>
      <c r="F27" s="193"/>
      <c r="G27" s="196"/>
      <c r="H27" s="205"/>
      <c r="I27" s="208"/>
      <c r="J27" s="211"/>
      <c r="K27" s="208">
        <f t="shared" ca="1" si="15"/>
        <v>0</v>
      </c>
      <c r="L27" s="205"/>
      <c r="M27" s="208"/>
      <c r="N27" s="199"/>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2">
        <v>4</v>
      </c>
      <c r="B28" s="191"/>
      <c r="C28" s="191"/>
      <c r="D28" s="191"/>
      <c r="E28" s="215"/>
      <c r="F28" s="191"/>
      <c r="G28" s="194"/>
      <c r="H28" s="203" t="str">
        <f>IF(G28&lt;=0,"",IF(G28&lt;=2,"Muy Baja",IF(G28&lt;=24,"Baja",IF(G28&lt;=500,"Media",IF(G28&lt;=5000,"Alta","Muy Alta")))))</f>
        <v/>
      </c>
      <c r="I28" s="206" t="str">
        <f>IF(H28="","",IF(H28="Muy Baja",0.2,IF(H28="Baja",0.4,IF(H28="Media",0.6,IF(H28="Alta",0.8,IF(H28="Muy Alta",1,))))))</f>
        <v/>
      </c>
      <c r="J28" s="209"/>
      <c r="K28" s="206">
        <f ca="1">IF(NOT(ISERROR(MATCH(J28,'Tabla Impacto'!$B$221:$B$223,0))),'Tabla Impacto'!$F$223&amp;"Por favor no seleccionar los criterios de impacto(Afectación Económica o presupuestal y Pérdida Reputacional)",J28)</f>
        <v>0</v>
      </c>
      <c r="L28" s="203" t="str">
        <f ca="1">IF(OR(K28='Tabla Impacto'!$C$11,K28='Tabla Impacto'!$D$11),"Leve",IF(OR(K28='Tabla Impacto'!$C$12,K28='Tabla Impacto'!$D$12),"Menor",IF(OR(K28='Tabla Impacto'!$C$13,K28='Tabla Impacto'!$D$13),"Moderado",IF(OR(K28='Tabla Impacto'!$C$14,K28='Tabla Impacto'!$D$14),"Mayor",IF(OR(K28='Tabla Impacto'!$C$15,K28='Tabla Impacto'!$D$15),"Catastrófico","")))))</f>
        <v/>
      </c>
      <c r="M28" s="206" t="str">
        <f ca="1">IF(L28="","",IF(L28="Leve",0.2,IF(L28="Menor",0.4,IF(L28="Moderado",0.6,IF(L28="Mayor",0.8,IF(L28="Catastrófico",1,))))))</f>
        <v/>
      </c>
      <c r="N28" s="197"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ref="K29:K33" ca="1" si="23">IF(NOT(ISERROR(MATCH(J29,_xlfn.ANCHORARRAY(E40),0))),I42&amp;"Por favor no seleccionar los criterios de impacto",J29)</f>
        <v>0</v>
      </c>
      <c r="L29" s="204"/>
      <c r="M29" s="207"/>
      <c r="N29" s="198"/>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3"/>
        <v>0</v>
      </c>
      <c r="L32" s="204"/>
      <c r="M32" s="207"/>
      <c r="N32" s="198"/>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4"/>
      <c r="B33" s="193"/>
      <c r="C33" s="193"/>
      <c r="D33" s="193"/>
      <c r="E33" s="217"/>
      <c r="F33" s="193"/>
      <c r="G33" s="196"/>
      <c r="H33" s="205"/>
      <c r="I33" s="208"/>
      <c r="J33" s="211"/>
      <c r="K33" s="208">
        <f t="shared" ca="1" si="23"/>
        <v>0</v>
      </c>
      <c r="L33" s="205"/>
      <c r="M33" s="208"/>
      <c r="N33" s="199"/>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2">
        <v>5</v>
      </c>
      <c r="B34" s="191"/>
      <c r="C34" s="191"/>
      <c r="D34" s="191"/>
      <c r="E34" s="215"/>
      <c r="F34" s="191"/>
      <c r="G34" s="194"/>
      <c r="H34" s="203" t="str">
        <f>IF(G34&lt;=0,"",IF(G34&lt;=2,"Muy Baja",IF(G34&lt;=24,"Baja",IF(G34&lt;=500,"Media",IF(G34&lt;=5000,"Alta","Muy Alta")))))</f>
        <v/>
      </c>
      <c r="I34" s="206" t="str">
        <f>IF(H34="","",IF(H34="Muy Baja",0.2,IF(H34="Baja",0.4,IF(H34="Media",0.6,IF(H34="Alta",0.8,IF(H34="Muy Alta",1,))))))</f>
        <v/>
      </c>
      <c r="J34" s="209"/>
      <c r="K34" s="206">
        <f ca="1">IF(NOT(ISERROR(MATCH(J34,'Tabla Impacto'!$B$221:$B$223,0))),'Tabla Impacto'!$F$223&amp;"Por favor no seleccionar los criterios de impacto(Afectación Económica o presupuestal y Pérdida Reputacional)",J34)</f>
        <v>0</v>
      </c>
      <c r="L34" s="203" t="str">
        <f ca="1">IF(OR(K34='Tabla Impacto'!$C$11,K34='Tabla Impacto'!$D$11),"Leve",IF(OR(K34='Tabla Impacto'!$C$12,K34='Tabla Impacto'!$D$12),"Menor",IF(OR(K34='Tabla Impacto'!$C$13,K34='Tabla Impacto'!$D$13),"Moderado",IF(OR(K34='Tabla Impacto'!$C$14,K34='Tabla Impacto'!$D$14),"Mayor",IF(OR(K34='Tabla Impacto'!$C$15,K34='Tabla Impacto'!$D$15),"Catastrófico","")))))</f>
        <v/>
      </c>
      <c r="M34" s="206" t="str">
        <f ca="1">IF(L34="","",IF(L34="Leve",0.2,IF(L34="Menor",0.4,IF(L34="Moderado",0.6,IF(L34="Mayor",0.8,IF(L34="Catastrófico",1,))))))</f>
        <v/>
      </c>
      <c r="N34" s="197"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ref="K35:K39" ca="1" si="31">IF(NOT(ISERROR(MATCH(J35,_xlfn.ANCHORARRAY(E46),0))),I48&amp;"Por favor no seleccionar los criterios de impacto",J35)</f>
        <v>0</v>
      </c>
      <c r="L35" s="204"/>
      <c r="M35" s="207"/>
      <c r="N35" s="198"/>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1"/>
        <v>0</v>
      </c>
      <c r="L38" s="204"/>
      <c r="M38" s="207"/>
      <c r="N38" s="198"/>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4"/>
      <c r="B39" s="193"/>
      <c r="C39" s="193"/>
      <c r="D39" s="193"/>
      <c r="E39" s="217"/>
      <c r="F39" s="193"/>
      <c r="G39" s="196"/>
      <c r="H39" s="205"/>
      <c r="I39" s="208"/>
      <c r="J39" s="211"/>
      <c r="K39" s="208">
        <f t="shared" ca="1" si="31"/>
        <v>0</v>
      </c>
      <c r="L39" s="205"/>
      <c r="M39" s="208"/>
      <c r="N39" s="199"/>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2">
        <v>6</v>
      </c>
      <c r="B40" s="191"/>
      <c r="C40" s="191"/>
      <c r="D40" s="191"/>
      <c r="E40" s="215"/>
      <c r="F40" s="191"/>
      <c r="G40" s="194"/>
      <c r="H40" s="203" t="str">
        <f>IF(G40&lt;=0,"",IF(G40&lt;=2,"Muy Baja",IF(G40&lt;=24,"Baja",IF(G40&lt;=500,"Media",IF(G40&lt;=5000,"Alta","Muy Alta")))))</f>
        <v/>
      </c>
      <c r="I40" s="206" t="str">
        <f>IF(H40="","",IF(H40="Muy Baja",0.2,IF(H40="Baja",0.4,IF(H40="Media",0.6,IF(H40="Alta",0.8,IF(H40="Muy Alta",1,))))))</f>
        <v/>
      </c>
      <c r="J40" s="209"/>
      <c r="K40" s="206">
        <f ca="1">IF(NOT(ISERROR(MATCH(J40,'Tabla Impacto'!$B$221:$B$223,0))),'Tabla Impacto'!$F$223&amp;"Por favor no seleccionar los criterios de impacto(Afectación Económica o presupuestal y Pérdida Reputacional)",J40)</f>
        <v>0</v>
      </c>
      <c r="L40" s="203" t="str">
        <f ca="1">IF(OR(K40='Tabla Impacto'!$C$11,K40='Tabla Impacto'!$D$11),"Leve",IF(OR(K40='Tabla Impacto'!$C$12,K40='Tabla Impacto'!$D$12),"Menor",IF(OR(K40='Tabla Impacto'!$C$13,K40='Tabla Impacto'!$D$13),"Moderado",IF(OR(K40='Tabla Impacto'!$C$14,K40='Tabla Impacto'!$D$14),"Mayor",IF(OR(K40='Tabla Impacto'!$C$15,K40='Tabla Impacto'!$D$15),"Catastrófico","")))))</f>
        <v/>
      </c>
      <c r="M40" s="206" t="str">
        <f ca="1">IF(L40="","",IF(L40="Leve",0.2,IF(L40="Menor",0.4,IF(L40="Moderado",0.6,IF(L40="Mayor",0.8,IF(L40="Catastrófico",1,))))))</f>
        <v/>
      </c>
      <c r="N40" s="197"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ref="K41:K45" ca="1" si="39">IF(NOT(ISERROR(MATCH(J41,_xlfn.ANCHORARRAY(E52),0))),I54&amp;"Por favor no seleccionar los criterios de impacto",J41)</f>
        <v>0</v>
      </c>
      <c r="L41" s="204"/>
      <c r="M41" s="207"/>
      <c r="N41" s="198"/>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39"/>
        <v>0</v>
      </c>
      <c r="L44" s="204"/>
      <c r="M44" s="207"/>
      <c r="N44" s="198"/>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4"/>
      <c r="B45" s="193"/>
      <c r="C45" s="193"/>
      <c r="D45" s="193"/>
      <c r="E45" s="217"/>
      <c r="F45" s="193"/>
      <c r="G45" s="196"/>
      <c r="H45" s="205"/>
      <c r="I45" s="208"/>
      <c r="J45" s="211"/>
      <c r="K45" s="208">
        <f t="shared" ca="1" si="39"/>
        <v>0</v>
      </c>
      <c r="L45" s="205"/>
      <c r="M45" s="208"/>
      <c r="N45" s="199"/>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2">
        <v>7</v>
      </c>
      <c r="B46" s="191"/>
      <c r="C46" s="191"/>
      <c r="D46" s="191"/>
      <c r="E46" s="215"/>
      <c r="F46" s="191"/>
      <c r="G46" s="194"/>
      <c r="H46" s="203" t="str">
        <f>IF(G46&lt;=0,"",IF(G46&lt;=2,"Muy Baja",IF(G46&lt;=24,"Baja",IF(G46&lt;=500,"Media",IF(G46&lt;=5000,"Alta","Muy Alta")))))</f>
        <v/>
      </c>
      <c r="I46" s="206" t="str">
        <f>IF(H46="","",IF(H46="Muy Baja",0.2,IF(H46="Baja",0.4,IF(H46="Media",0.6,IF(H46="Alta",0.8,IF(H46="Muy Alta",1,))))))</f>
        <v/>
      </c>
      <c r="J46" s="209"/>
      <c r="K46" s="206">
        <f ca="1">IF(NOT(ISERROR(MATCH(J46,'Tabla Impacto'!$B$221:$B$223,0))),'Tabla Impacto'!$F$223&amp;"Por favor no seleccionar los criterios de impacto(Afectación Económica o presupuestal y Pérdida Reputacional)",J46)</f>
        <v>0</v>
      </c>
      <c r="L46" s="203" t="str">
        <f ca="1">IF(OR(K46='Tabla Impacto'!$C$11,K46='Tabla Impacto'!$D$11),"Leve",IF(OR(K46='Tabla Impacto'!$C$12,K46='Tabla Impacto'!$D$12),"Menor",IF(OR(K46='Tabla Impacto'!$C$13,K46='Tabla Impacto'!$D$13),"Moderado",IF(OR(K46='Tabla Impacto'!$C$14,K46='Tabla Impacto'!$D$14),"Mayor",IF(OR(K46='Tabla Impacto'!$C$15,K46='Tabla Impacto'!$D$15),"Catastrófico","")))))</f>
        <v/>
      </c>
      <c r="M46" s="206" t="str">
        <f ca="1">IF(L46="","",IF(L46="Leve",0.2,IF(L46="Menor",0.4,IF(L46="Moderado",0.6,IF(L46="Mayor",0.8,IF(L46="Catastrófico",1,))))))</f>
        <v/>
      </c>
      <c r="N46" s="197"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ref="K47:K51" ca="1" si="47">IF(NOT(ISERROR(MATCH(J47,_xlfn.ANCHORARRAY(E58),0))),I60&amp;"Por favor no seleccionar los criterios de impacto",J47)</f>
        <v>0</v>
      </c>
      <c r="L47" s="204"/>
      <c r="M47" s="207"/>
      <c r="N47" s="198"/>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t="shared" ca="1" si="47"/>
        <v>0</v>
      </c>
      <c r="L50" s="204"/>
      <c r="M50" s="207"/>
      <c r="N50" s="198"/>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4"/>
      <c r="B51" s="193"/>
      <c r="C51" s="193"/>
      <c r="D51" s="193"/>
      <c r="E51" s="217"/>
      <c r="F51" s="193"/>
      <c r="G51" s="196"/>
      <c r="H51" s="205"/>
      <c r="I51" s="208"/>
      <c r="J51" s="211"/>
      <c r="K51" s="208">
        <f t="shared" ca="1" si="47"/>
        <v>0</v>
      </c>
      <c r="L51" s="205"/>
      <c r="M51" s="208"/>
      <c r="N51" s="199"/>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2">
        <v>8</v>
      </c>
      <c r="B52" s="191"/>
      <c r="C52" s="191"/>
      <c r="D52" s="191"/>
      <c r="E52" s="215"/>
      <c r="F52" s="191"/>
      <c r="G52" s="194"/>
      <c r="H52" s="203" t="str">
        <f>IF(G52&lt;=0,"",IF(G52&lt;=2,"Muy Baja",IF(G52&lt;=24,"Baja",IF(G52&lt;=500,"Media",IF(G52&lt;=5000,"Alta","Muy Alta")))))</f>
        <v/>
      </c>
      <c r="I52" s="206" t="str">
        <f>IF(H52="","",IF(H52="Muy Baja",0.2,IF(H52="Baja",0.4,IF(H52="Media",0.6,IF(H52="Alta",0.8,IF(H52="Muy Alta",1,))))))</f>
        <v/>
      </c>
      <c r="J52" s="209"/>
      <c r="K52" s="206">
        <f ca="1">IF(NOT(ISERROR(MATCH(J52,'Tabla Impacto'!$B$221:$B$223,0))),'Tabla Impacto'!$F$223&amp;"Por favor no seleccionar los criterios de impacto(Afectación Económica o presupuestal y Pérdida Reputacional)",J52)</f>
        <v>0</v>
      </c>
      <c r="L52" s="203" t="str">
        <f ca="1">IF(OR(K52='Tabla Impacto'!$C$11,K52='Tabla Impacto'!$D$11),"Leve",IF(OR(K52='Tabla Impacto'!$C$12,K52='Tabla Impacto'!$D$12),"Menor",IF(OR(K52='Tabla Impacto'!$C$13,K52='Tabla Impacto'!$D$13),"Moderado",IF(OR(K52='Tabla Impacto'!$C$14,K52='Tabla Impacto'!$D$14),"Mayor",IF(OR(K52='Tabla Impacto'!$C$15,K52='Tabla Impacto'!$D$15),"Catastrófico","")))))</f>
        <v/>
      </c>
      <c r="M52" s="206" t="str">
        <f ca="1">IF(L52="","",IF(L52="Leve",0.2,IF(L52="Menor",0.4,IF(L52="Moderado",0.6,IF(L52="Mayor",0.8,IF(L52="Catastrófico",1,))))))</f>
        <v/>
      </c>
      <c r="N52" s="197"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4"/>
      <c r="B57" s="193"/>
      <c r="C57" s="193"/>
      <c r="D57" s="193"/>
      <c r="E57" s="217"/>
      <c r="F57" s="193"/>
      <c r="G57" s="196"/>
      <c r="H57" s="205"/>
      <c r="I57" s="208"/>
      <c r="J57" s="211"/>
      <c r="K57" s="208">
        <f ca="1">IF(NOT(ISERROR(MATCH(J57,_xlfn.ANCHORARRAY(E68),0))),I70&amp;"Por favor no seleccionar los criterios de impacto",J57)</f>
        <v>0</v>
      </c>
      <c r="L57" s="205"/>
      <c r="M57" s="208"/>
      <c r="N57" s="199"/>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2">
        <v>9</v>
      </c>
      <c r="B58" s="191"/>
      <c r="C58" s="191"/>
      <c r="D58" s="191"/>
      <c r="E58" s="215"/>
      <c r="F58" s="191"/>
      <c r="G58" s="194"/>
      <c r="H58" s="203" t="str">
        <f>IF(G58&lt;=0,"",IF(G58&lt;=2,"Muy Baja",IF(G58&lt;=24,"Baja",IF(G58&lt;=500,"Media",IF(G58&lt;=5000,"Alta","Muy Alta")))))</f>
        <v/>
      </c>
      <c r="I58" s="206" t="str">
        <f>IF(H58="","",IF(H58="Muy Baja",0.2,IF(H58="Baja",0.4,IF(H58="Media",0.6,IF(H58="Alta",0.8,IF(H58="Muy Alta",1,))))))</f>
        <v/>
      </c>
      <c r="J58" s="209"/>
      <c r="K58" s="206">
        <f ca="1">IF(NOT(ISERROR(MATCH(J58,'Tabla Impacto'!$B$221:$B$223,0))),'Tabla Impacto'!$F$223&amp;"Por favor no seleccionar los criterios de impacto(Afectación Económica o presupuestal y Pérdida Reputacional)",J58)</f>
        <v>0</v>
      </c>
      <c r="L58" s="203" t="str">
        <f ca="1">IF(OR(K58='Tabla Impacto'!$C$11,K58='Tabla Impacto'!$D$11),"Leve",IF(OR(K58='Tabla Impacto'!$C$12,K58='Tabla Impacto'!$D$12),"Menor",IF(OR(K58='Tabla Impacto'!$C$13,K58='Tabla Impacto'!$D$13),"Moderado",IF(OR(K58='Tabla Impacto'!$C$14,K58='Tabla Impacto'!$D$14),"Mayor",IF(OR(K58='Tabla Impacto'!$C$15,K58='Tabla Impacto'!$D$15),"Catastrófico","")))))</f>
        <v/>
      </c>
      <c r="M58" s="206" t="str">
        <f ca="1">IF(L58="","",IF(L58="Leve",0.2,IF(L58="Menor",0.4,IF(L58="Moderado",0.6,IF(L58="Mayor",0.8,IF(L58="Catastrófico",1,))))))</f>
        <v/>
      </c>
      <c r="N58" s="197"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4"/>
      <c r="B63" s="193"/>
      <c r="C63" s="193"/>
      <c r="D63" s="193"/>
      <c r="E63" s="217"/>
      <c r="F63" s="193"/>
      <c r="G63" s="196"/>
      <c r="H63" s="205"/>
      <c r="I63" s="208"/>
      <c r="J63" s="211"/>
      <c r="K63" s="208">
        <f ca="1">IF(NOT(ISERROR(MATCH(J63,_xlfn.ANCHORARRAY(E74),0))),I76&amp;"Por favor no seleccionar los criterios de impacto",J63)</f>
        <v>0</v>
      </c>
      <c r="L63" s="205"/>
      <c r="M63" s="208"/>
      <c r="N63" s="199"/>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2">
        <v>10</v>
      </c>
      <c r="B64" s="191"/>
      <c r="C64" s="191"/>
      <c r="D64" s="191"/>
      <c r="E64" s="215"/>
      <c r="F64" s="191"/>
      <c r="G64" s="194"/>
      <c r="H64" s="203" t="str">
        <f>IF(G64&lt;=0,"",IF(G64&lt;=2,"Muy Baja",IF(G64&lt;=24,"Baja",IF(G64&lt;=500,"Media",IF(G64&lt;=5000,"Alta","Muy Alta")))))</f>
        <v/>
      </c>
      <c r="I64" s="206" t="str">
        <f>IF(H64="","",IF(H64="Muy Baja",0.2,IF(H64="Baja",0.4,IF(H64="Media",0.6,IF(H64="Alta",0.8,IF(H64="Muy Alta",1,))))))</f>
        <v/>
      </c>
      <c r="J64" s="209"/>
      <c r="K64" s="206">
        <f ca="1">IF(NOT(ISERROR(MATCH(J64,'Tabla Impacto'!$B$221:$B$223,0))),'Tabla Impacto'!$F$223&amp;"Por favor no seleccionar los criterios de impacto(Afectación Económica o presupuestal y Pérdida Reputacional)",J64)</f>
        <v>0</v>
      </c>
      <c r="L64" s="203" t="str">
        <f ca="1">IF(OR(K64='Tabla Impacto'!$C$11,K64='Tabla Impacto'!$D$11),"Leve",IF(OR(K64='Tabla Impacto'!$C$12,K64='Tabla Impacto'!$D$12),"Menor",IF(OR(K64='Tabla Impacto'!$C$13,K64='Tabla Impacto'!$D$13),"Moderado",IF(OR(K64='Tabla Impacto'!$C$14,K64='Tabla Impacto'!$D$14),"Mayor",IF(OR(K64='Tabla Impacto'!$C$15,K64='Tabla Impacto'!$D$15),"Catastrófico","")))))</f>
        <v/>
      </c>
      <c r="M64" s="206" t="str">
        <f ca="1">IF(L64="","",IF(L64="Leve",0.2,IF(L64="Menor",0.4,IF(L64="Moderado",0.6,IF(L64="Mayor",0.8,IF(L64="Catastrófico",1,))))))</f>
        <v/>
      </c>
      <c r="N64" s="197"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3"/>
      <c r="B68" s="192"/>
      <c r="C68" s="192"/>
      <c r="D68" s="192"/>
      <c r="E68" s="216"/>
      <c r="F68" s="192"/>
      <c r="G68" s="195"/>
      <c r="H68" s="204"/>
      <c r="I68" s="207"/>
      <c r="J68" s="210"/>
      <c r="K68" s="207">
        <f ca="1">IF(NOT(ISERROR(MATCH(J68,_xlfn.ANCHORARRAY(E79),0))),I81&amp;"Por favor no seleccionar los criterios de impacto",J68)</f>
        <v>0</v>
      </c>
      <c r="L68" s="204"/>
      <c r="M68" s="207"/>
      <c r="N68" s="198"/>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4"/>
      <c r="B69" s="193"/>
      <c r="C69" s="193"/>
      <c r="D69" s="193"/>
      <c r="E69" s="217"/>
      <c r="F69" s="193"/>
      <c r="G69" s="196"/>
      <c r="H69" s="205"/>
      <c r="I69" s="208"/>
      <c r="J69" s="211"/>
      <c r="K69" s="208">
        <f ca="1">IF(NOT(ISERROR(MATCH(J69,_xlfn.ANCHORARRAY(E80),0))),I82&amp;"Por favor no seleccionar los criterios de impacto",J69)</f>
        <v>0</v>
      </c>
      <c r="L69" s="205"/>
      <c r="M69" s="208"/>
      <c r="N69" s="199"/>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00" t="s">
        <v>131</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2"/>
    </row>
    <row r="72" spans="1:36" x14ac:dyDescent="0.3">
      <c r="A72" s="1"/>
      <c r="B72" s="24" t="s">
        <v>143</v>
      </c>
      <c r="C72" s="1"/>
      <c r="D72" s="1"/>
      <c r="F72" s="1"/>
    </row>
  </sheetData>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218" priority="227" operator="equal">
      <formula>"Muy Alta"</formula>
    </cfRule>
    <cfRule type="cellIs" dxfId="1217" priority="228" operator="equal">
      <formula>"Alta"</formula>
    </cfRule>
    <cfRule type="cellIs" dxfId="1216" priority="229" operator="equal">
      <formula>"Media"</formula>
    </cfRule>
    <cfRule type="cellIs" dxfId="1215" priority="230" operator="equal">
      <formula>"Baja"</formula>
    </cfRule>
    <cfRule type="cellIs" dxfId="1214" priority="231" operator="equal">
      <formula>"Muy Baja"</formula>
    </cfRule>
  </conditionalFormatting>
  <conditionalFormatting sqref="H22">
    <cfRule type="cellIs" dxfId="1213" priority="181" operator="equal">
      <formula>"Muy Alta"</formula>
    </cfRule>
    <cfRule type="cellIs" dxfId="1212" priority="182" operator="equal">
      <formula>"Alta"</formula>
    </cfRule>
    <cfRule type="cellIs" dxfId="1211" priority="183" operator="equal">
      <formula>"Media"</formula>
    </cfRule>
    <cfRule type="cellIs" dxfId="1210" priority="184" operator="equal">
      <formula>"Baja"</formula>
    </cfRule>
    <cfRule type="cellIs" dxfId="1209" priority="185" operator="equal">
      <formula>"Muy Baja"</formula>
    </cfRule>
  </conditionalFormatting>
  <conditionalFormatting sqref="H28">
    <cfRule type="cellIs" dxfId="1208" priority="158" operator="equal">
      <formula>"Muy Alta"</formula>
    </cfRule>
    <cfRule type="cellIs" dxfId="1207" priority="159" operator="equal">
      <formula>"Alta"</formula>
    </cfRule>
    <cfRule type="cellIs" dxfId="1206" priority="160" operator="equal">
      <formula>"Media"</formula>
    </cfRule>
    <cfRule type="cellIs" dxfId="1205" priority="161" operator="equal">
      <formula>"Baja"</formula>
    </cfRule>
    <cfRule type="cellIs" dxfId="1204" priority="162" operator="equal">
      <formula>"Muy Baja"</formula>
    </cfRule>
  </conditionalFormatting>
  <conditionalFormatting sqref="H34">
    <cfRule type="cellIs" dxfId="1203" priority="135" operator="equal">
      <formula>"Muy Alta"</formula>
    </cfRule>
    <cfRule type="cellIs" dxfId="1202" priority="136" operator="equal">
      <formula>"Alta"</formula>
    </cfRule>
    <cfRule type="cellIs" dxfId="1201" priority="137" operator="equal">
      <formula>"Media"</formula>
    </cfRule>
    <cfRule type="cellIs" dxfId="1200" priority="138" operator="equal">
      <formula>"Baja"</formula>
    </cfRule>
    <cfRule type="cellIs" dxfId="1199" priority="139" operator="equal">
      <formula>"Muy Baja"</formula>
    </cfRule>
  </conditionalFormatting>
  <conditionalFormatting sqref="H40">
    <cfRule type="cellIs" dxfId="1198" priority="112" operator="equal">
      <formula>"Muy Alta"</formula>
    </cfRule>
    <cfRule type="cellIs" dxfId="1197" priority="113" operator="equal">
      <formula>"Alta"</formula>
    </cfRule>
    <cfRule type="cellIs" dxfId="1196" priority="114" operator="equal">
      <formula>"Media"</formula>
    </cfRule>
    <cfRule type="cellIs" dxfId="1195" priority="115" operator="equal">
      <formula>"Baja"</formula>
    </cfRule>
    <cfRule type="cellIs" dxfId="1194" priority="116" operator="equal">
      <formula>"Muy Baja"</formula>
    </cfRule>
  </conditionalFormatting>
  <conditionalFormatting sqref="H46">
    <cfRule type="cellIs" dxfId="1193" priority="89" operator="equal">
      <formula>"Muy Alta"</formula>
    </cfRule>
    <cfRule type="cellIs" dxfId="1192" priority="90" operator="equal">
      <formula>"Alta"</formula>
    </cfRule>
    <cfRule type="cellIs" dxfId="1191" priority="91" operator="equal">
      <formula>"Media"</formula>
    </cfRule>
    <cfRule type="cellIs" dxfId="1190" priority="92" operator="equal">
      <formula>"Baja"</formula>
    </cfRule>
    <cfRule type="cellIs" dxfId="1189" priority="93" operator="equal">
      <formula>"Muy Baja"</formula>
    </cfRule>
  </conditionalFormatting>
  <conditionalFormatting sqref="H52">
    <cfRule type="cellIs" dxfId="1188" priority="66" operator="equal">
      <formula>"Muy Alta"</formula>
    </cfRule>
    <cfRule type="cellIs" dxfId="1187" priority="67" operator="equal">
      <formula>"Alta"</formula>
    </cfRule>
    <cfRule type="cellIs" dxfId="1186" priority="68" operator="equal">
      <formula>"Media"</formula>
    </cfRule>
    <cfRule type="cellIs" dxfId="1185" priority="69" operator="equal">
      <formula>"Baja"</formula>
    </cfRule>
    <cfRule type="cellIs" dxfId="1184" priority="70" operator="equal">
      <formula>"Muy Baja"</formula>
    </cfRule>
  </conditionalFormatting>
  <conditionalFormatting sqref="H58">
    <cfRule type="cellIs" dxfId="1183" priority="43" operator="equal">
      <formula>"Muy Alta"</formula>
    </cfRule>
    <cfRule type="cellIs" dxfId="1182" priority="44" operator="equal">
      <formula>"Alta"</formula>
    </cfRule>
    <cfRule type="cellIs" dxfId="1181" priority="45" operator="equal">
      <formula>"Media"</formula>
    </cfRule>
    <cfRule type="cellIs" dxfId="1180" priority="46" operator="equal">
      <formula>"Baja"</formula>
    </cfRule>
    <cfRule type="cellIs" dxfId="1179" priority="47" operator="equal">
      <formula>"Muy Baja"</formula>
    </cfRule>
  </conditionalFormatting>
  <conditionalFormatting sqref="H64">
    <cfRule type="cellIs" dxfId="1178" priority="20" operator="equal">
      <formula>"Muy Alta"</formula>
    </cfRule>
    <cfRule type="cellIs" dxfId="1177" priority="21" operator="equal">
      <formula>"Alta"</formula>
    </cfRule>
    <cfRule type="cellIs" dxfId="1176" priority="22" operator="equal">
      <formula>"Media"</formula>
    </cfRule>
    <cfRule type="cellIs" dxfId="1175" priority="23" operator="equal">
      <formula>"Baja"</formula>
    </cfRule>
    <cfRule type="cellIs" dxfId="1174" priority="24" operator="equal">
      <formula>"Muy Baja"</formula>
    </cfRule>
  </conditionalFormatting>
  <conditionalFormatting sqref="K10:K69">
    <cfRule type="containsText" dxfId="1173" priority="1" operator="containsText" text="❌">
      <formula>NOT(ISERROR(SEARCH("❌",K10)))</formula>
    </cfRule>
  </conditionalFormatting>
  <conditionalFormatting sqref="L10 L16 L22 L28 L34 L40 L46 L52 L58 L64">
    <cfRule type="cellIs" dxfId="1172" priority="222" operator="equal">
      <formula>"Catastrófico"</formula>
    </cfRule>
    <cfRule type="cellIs" dxfId="1171" priority="223" operator="equal">
      <formula>"Mayor"</formula>
    </cfRule>
    <cfRule type="cellIs" dxfId="1170" priority="224" operator="equal">
      <formula>"Moderado"</formula>
    </cfRule>
    <cfRule type="cellIs" dxfId="1169" priority="225" operator="equal">
      <formula>"Menor"</formula>
    </cfRule>
    <cfRule type="cellIs" dxfId="1168" priority="226" operator="equal">
      <formula>"Leve"</formula>
    </cfRule>
  </conditionalFormatting>
  <conditionalFormatting sqref="N10">
    <cfRule type="cellIs" dxfId="1167" priority="218" operator="equal">
      <formula>"Extremo"</formula>
    </cfRule>
    <cfRule type="cellIs" dxfId="1166" priority="219" operator="equal">
      <formula>"Alto"</formula>
    </cfRule>
    <cfRule type="cellIs" dxfId="1165" priority="220" operator="equal">
      <formula>"Moderado"</formula>
    </cfRule>
    <cfRule type="cellIs" dxfId="1164" priority="221" operator="equal">
      <formula>"Bajo"</formula>
    </cfRule>
  </conditionalFormatting>
  <conditionalFormatting sqref="N16">
    <cfRule type="cellIs" dxfId="1163" priority="200" operator="equal">
      <formula>"Extremo"</formula>
    </cfRule>
    <cfRule type="cellIs" dxfId="1162" priority="201" operator="equal">
      <formula>"Alto"</formula>
    </cfRule>
    <cfRule type="cellIs" dxfId="1161" priority="202" operator="equal">
      <formula>"Moderado"</formula>
    </cfRule>
    <cfRule type="cellIs" dxfId="1160" priority="203" operator="equal">
      <formula>"Bajo"</formula>
    </cfRule>
  </conditionalFormatting>
  <conditionalFormatting sqref="N22">
    <cfRule type="cellIs" dxfId="1159" priority="177" operator="equal">
      <formula>"Extremo"</formula>
    </cfRule>
    <cfRule type="cellIs" dxfId="1158" priority="178" operator="equal">
      <formula>"Alto"</formula>
    </cfRule>
    <cfRule type="cellIs" dxfId="1157" priority="179" operator="equal">
      <formula>"Moderado"</formula>
    </cfRule>
    <cfRule type="cellIs" dxfId="1156" priority="180" operator="equal">
      <formula>"Bajo"</formula>
    </cfRule>
  </conditionalFormatting>
  <conditionalFormatting sqref="N28">
    <cfRule type="cellIs" dxfId="1155" priority="154" operator="equal">
      <formula>"Extremo"</formula>
    </cfRule>
    <cfRule type="cellIs" dxfId="1154" priority="155" operator="equal">
      <formula>"Alto"</formula>
    </cfRule>
    <cfRule type="cellIs" dxfId="1153" priority="156" operator="equal">
      <formula>"Moderado"</formula>
    </cfRule>
    <cfRule type="cellIs" dxfId="1152" priority="157" operator="equal">
      <formula>"Bajo"</formula>
    </cfRule>
  </conditionalFormatting>
  <conditionalFormatting sqref="N34">
    <cfRule type="cellIs" dxfId="1151" priority="131" operator="equal">
      <formula>"Extremo"</formula>
    </cfRule>
    <cfRule type="cellIs" dxfId="1150" priority="132" operator="equal">
      <formula>"Alto"</formula>
    </cfRule>
    <cfRule type="cellIs" dxfId="1149" priority="133" operator="equal">
      <formula>"Moderado"</formula>
    </cfRule>
    <cfRule type="cellIs" dxfId="1148" priority="134" operator="equal">
      <formula>"Bajo"</formula>
    </cfRule>
  </conditionalFormatting>
  <conditionalFormatting sqref="N40">
    <cfRule type="cellIs" dxfId="1147" priority="108" operator="equal">
      <formula>"Extremo"</formula>
    </cfRule>
    <cfRule type="cellIs" dxfId="1146" priority="109" operator="equal">
      <formula>"Alto"</formula>
    </cfRule>
    <cfRule type="cellIs" dxfId="1145" priority="110" operator="equal">
      <formula>"Moderado"</formula>
    </cfRule>
    <cfRule type="cellIs" dxfId="1144" priority="111" operator="equal">
      <formula>"Bajo"</formula>
    </cfRule>
  </conditionalFormatting>
  <conditionalFormatting sqref="N46">
    <cfRule type="cellIs" dxfId="1143" priority="85" operator="equal">
      <formula>"Extremo"</formula>
    </cfRule>
    <cfRule type="cellIs" dxfId="1142" priority="86" operator="equal">
      <formula>"Alto"</formula>
    </cfRule>
    <cfRule type="cellIs" dxfId="1141" priority="87" operator="equal">
      <formula>"Moderado"</formula>
    </cfRule>
    <cfRule type="cellIs" dxfId="1140" priority="88" operator="equal">
      <formula>"Bajo"</formula>
    </cfRule>
  </conditionalFormatting>
  <conditionalFormatting sqref="N52">
    <cfRule type="cellIs" dxfId="1139" priority="62" operator="equal">
      <formula>"Extremo"</formula>
    </cfRule>
    <cfRule type="cellIs" dxfId="1138" priority="63" operator="equal">
      <formula>"Alto"</formula>
    </cfRule>
    <cfRule type="cellIs" dxfId="1137" priority="64" operator="equal">
      <formula>"Moderado"</formula>
    </cfRule>
    <cfRule type="cellIs" dxfId="1136" priority="65" operator="equal">
      <formula>"Bajo"</formula>
    </cfRule>
  </conditionalFormatting>
  <conditionalFormatting sqref="N58">
    <cfRule type="cellIs" dxfId="1135" priority="39" operator="equal">
      <formula>"Extremo"</formula>
    </cfRule>
    <cfRule type="cellIs" dxfId="1134" priority="40" operator="equal">
      <formula>"Alto"</formula>
    </cfRule>
    <cfRule type="cellIs" dxfId="1133" priority="41" operator="equal">
      <formula>"Moderado"</formula>
    </cfRule>
    <cfRule type="cellIs" dxfId="1132" priority="42" operator="equal">
      <formula>"Bajo"</formula>
    </cfRule>
  </conditionalFormatting>
  <conditionalFormatting sqref="N64">
    <cfRule type="cellIs" dxfId="1131" priority="16" operator="equal">
      <formula>"Extremo"</formula>
    </cfRule>
    <cfRule type="cellIs" dxfId="1130" priority="17" operator="equal">
      <formula>"Alto"</formula>
    </cfRule>
    <cfRule type="cellIs" dxfId="1129" priority="18" operator="equal">
      <formula>"Moderado"</formula>
    </cfRule>
    <cfRule type="cellIs" dxfId="1128" priority="19" operator="equal">
      <formula>"Bajo"</formula>
    </cfRule>
  </conditionalFormatting>
  <conditionalFormatting sqref="Y10:Y69">
    <cfRule type="cellIs" dxfId="1127" priority="11" operator="equal">
      <formula>"Muy Alta"</formula>
    </cfRule>
    <cfRule type="cellIs" dxfId="1126" priority="12" operator="equal">
      <formula>"Alta"</formula>
    </cfRule>
    <cfRule type="cellIs" dxfId="1125" priority="13" operator="equal">
      <formula>"Media"</formula>
    </cfRule>
    <cfRule type="cellIs" dxfId="1124" priority="14" operator="equal">
      <formula>"Baja"</formula>
    </cfRule>
    <cfRule type="cellIs" dxfId="1123" priority="15" operator="equal">
      <formula>"Muy Baja"</formula>
    </cfRule>
  </conditionalFormatting>
  <conditionalFormatting sqref="AA10:AA69">
    <cfRule type="cellIs" dxfId="1122" priority="6" operator="equal">
      <formula>"Catastrófico"</formula>
    </cfRule>
    <cfRule type="cellIs" dxfId="1121" priority="7" operator="equal">
      <formula>"Mayor"</formula>
    </cfRule>
    <cfRule type="cellIs" dxfId="1120" priority="8" operator="equal">
      <formula>"Moderado"</formula>
    </cfRule>
    <cfRule type="cellIs" dxfId="1119" priority="9" operator="equal">
      <formula>"Menor"</formula>
    </cfRule>
    <cfRule type="cellIs" dxfId="1118" priority="10" operator="equal">
      <formula>"Leve"</formula>
    </cfRule>
  </conditionalFormatting>
  <conditionalFormatting sqref="AC10:AC69">
    <cfRule type="cellIs" dxfId="1117" priority="2" operator="equal">
      <formula>"Extremo"</formula>
    </cfRule>
    <cfRule type="cellIs" dxfId="1116" priority="3" operator="equal">
      <formula>"Alto"</formula>
    </cfRule>
    <cfRule type="cellIs" dxfId="1115" priority="4" operator="equal">
      <formula>"Moderado"</formula>
    </cfRule>
    <cfRule type="cellIs" dxfId="1114"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3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3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3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3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3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300-000005000000}">
          <x14:formula1>
            <xm:f>'Tabla Impacto'!$F$210:$F$221</xm:f>
          </x14:formula1>
          <xm:sqref>J10:J69</xm:sqref>
        </x14:dataValidation>
        <x14:dataValidation type="list" allowBlank="1" showInputMessage="1" showErrorMessage="1" xr:uid="{00000000-0002-0000-0300-000006000000}">
          <x14:formula1>
            <xm:f>'Opciones Tratamiento'!$B$2:$B$5</xm:f>
          </x14:formula1>
          <xm:sqref>AD10:AD69</xm:sqref>
        </x14:dataValidation>
        <x14:dataValidation type="list" allowBlank="1" showInputMessage="1" showErrorMessage="1" xr:uid="{00000000-0002-0000-0300-000007000000}">
          <x14:formula1>
            <xm:f>'Opciones Tratamiento'!$E$2:$E$4</xm:f>
          </x14:formula1>
          <xm:sqref>B10:B69</xm:sqref>
        </x14:dataValidation>
        <x14:dataValidation type="list" allowBlank="1" showInputMessage="1" showErrorMessage="1" xr:uid="{00000000-0002-0000-0300-000008000000}">
          <x14:formula1>
            <xm:f>'Opciones Tratamiento'!$B$13:$B$19</xm:f>
          </x14:formula1>
          <xm:sqref>F10:F69</xm:sqref>
        </x14:dataValidation>
        <x14:dataValidation type="list" allowBlank="1" showInputMessage="1" showErrorMessage="1" xr:uid="{00000000-0002-0000-0300-000009000000}">
          <x14:formula1>
            <xm:f>'Tabla Valoración controles'!$D$13:$D$14</xm:f>
          </x14:formula1>
          <xm:sqref>W10:W69</xm:sqref>
        </x14:dataValidation>
        <x14:dataValidation type="list" allowBlank="1" showInputMessage="1" showErrorMessage="1" xr:uid="{00000000-0002-0000-03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300-00000B000000}">
          <x14:formula1>
            <xm:f>'Tabla Valoración controles'!$D$11:$D$12</xm:f>
          </x14:formula1>
          <xm:sqref>V10:V69</xm:sqref>
        </x14:dataValidation>
        <x14:dataValidation type="list" allowBlank="1" showInputMessage="1" showErrorMessage="1" xr:uid="{00000000-0002-0000-0300-00000C000000}">
          <x14:formula1>
            <xm:f>'Tabla Valoración controles'!$D$9:$D$10</xm:f>
          </x14:formula1>
          <xm:sqref>U10:U69</xm:sqref>
        </x14:dataValidation>
        <x14:dataValidation type="list" allowBlank="1" showInputMessage="1" showErrorMessage="1" xr:uid="{00000000-0002-0000-0300-00000D000000}">
          <x14:formula1>
            <xm:f>'Tabla Valoración controles'!$D$7:$D$8</xm:f>
          </x14:formula1>
          <xm:sqref>S10:S69</xm:sqref>
        </x14:dataValidation>
        <x14:dataValidation type="list" allowBlank="1" showInputMessage="1" showErrorMessage="1" xr:uid="{00000000-0002-0000-0300-00000E000000}">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BP68"/>
  <sheetViews>
    <sheetView topLeftCell="M8" zoomScale="60" zoomScaleNormal="60" workbookViewId="0">
      <pane ySplit="1" topLeftCell="A10" activePane="bottomLeft" state="frozen"/>
      <selection activeCell="A8" sqref="A8"/>
      <selection pane="bottomLeft" activeCell="AH12" sqref="AH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332</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330</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334</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134</v>
      </c>
      <c r="C10" s="191" t="s">
        <v>257</v>
      </c>
      <c r="D10" s="191" t="s">
        <v>231</v>
      </c>
      <c r="E10" s="215" t="s">
        <v>230</v>
      </c>
      <c r="F10" s="191" t="s">
        <v>123</v>
      </c>
      <c r="G10" s="194">
        <v>12</v>
      </c>
      <c r="H10" s="203" t="str">
        <f>IF(G10&lt;=0,"",IF(G10&lt;=2,"Muy Baja",IF(G10&lt;=24,"Baja",IF(G10&lt;=500,"Media",IF(G10&lt;=5000,"Alta","Muy Alta")))))</f>
        <v>Baja</v>
      </c>
      <c r="I10" s="206">
        <f>IF(H10="","",IF(H10="Muy Baja",0.2,IF(H10="Baja",0.4,IF(H10="Media",0.6,IF(H10="Alta",0.8,IF(H10="Muy Alta",1,))))))</f>
        <v>0.4</v>
      </c>
      <c r="J10" s="209" t="s">
        <v>154</v>
      </c>
      <c r="K10" s="206"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03" t="str">
        <f ca="1">IF(OR(K10='Tabla Impacto'!$C$11,K10='Tabla Impacto'!$D$11),"Leve",IF(OR(K10='Tabla Impacto'!$C$12,K10='Tabla Impacto'!$D$12),"Menor",IF(OR(K10='Tabla Impacto'!$C$13,K10='Tabla Impacto'!$D$13),"Moderado",IF(OR(K10='Tabla Impacto'!$C$14,K10='Tabla Impacto'!$D$14),"Mayor",IF(OR(K10='Tabla Impacto'!$C$15,K10='Tabla Impacto'!$D$15),"Catastrófico","")))))</f>
        <v>Menor</v>
      </c>
      <c r="M10" s="206">
        <f ca="1">IF(L10="","",IF(L10="Leve",0.2,IF(L10="Menor",0.4,IF(L10="Moderado",0.6,IF(L10="Mayor",0.8,IF(L10="Catastrófico",1,))))))</f>
        <v>0.4</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137</v>
      </c>
      <c r="AE10" s="133" t="s">
        <v>258</v>
      </c>
      <c r="AF10" s="133" t="s">
        <v>246</v>
      </c>
      <c r="AG10" s="135">
        <v>45291</v>
      </c>
      <c r="AH10" s="135">
        <v>45271</v>
      </c>
      <c r="AI10" s="133" t="s">
        <v>306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77.25" customHeight="1" x14ac:dyDescent="0.3">
      <c r="A11" s="213"/>
      <c r="B11" s="192"/>
      <c r="C11" s="192"/>
      <c r="D11" s="192"/>
      <c r="E11" s="216"/>
      <c r="F11" s="192"/>
      <c r="G11" s="195"/>
      <c r="H11" s="204"/>
      <c r="I11" s="207"/>
      <c r="J11" s="210"/>
      <c r="K11" s="207">
        <f ca="1">IF(NOT(ISERROR(MATCH(J11,_xlfn.ANCHORARRAY(E18),0))),I20&amp;"Por favor no seleccionar los criterios de impacto",J11)</f>
        <v>0</v>
      </c>
      <c r="L11" s="204"/>
      <c r="M11" s="207"/>
      <c r="N11" s="198"/>
      <c r="O11" s="123">
        <v>2</v>
      </c>
      <c r="P11" s="124" t="s">
        <v>259</v>
      </c>
      <c r="Q11" s="125" t="str">
        <f>IF(OR(R11="Preventivo",R11="Detectivo"),"Probabilidad",IF(R11="Correctivo","Impacto",""))</f>
        <v>Impacto</v>
      </c>
      <c r="R11" s="126" t="s">
        <v>16</v>
      </c>
      <c r="S11" s="126" t="s">
        <v>9</v>
      </c>
      <c r="T11" s="127" t="str">
        <f t="shared" ref="T11"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5" si="1">IFERROR(IF(X11="","",IF(X11&lt;=0.2,"Muy Baja",IF(X11&lt;=0.4,"Baja",IF(X11&lt;=0.6,"Media",IF(X11&lt;=0.8,"Alta","Muy Alta"))))),"")</f>
        <v>Baja</v>
      </c>
      <c r="Z11" s="130">
        <f t="shared" ref="Z11" si="2">+X11</f>
        <v>0.24</v>
      </c>
      <c r="AA11" s="129" t="str">
        <f t="shared" ref="AA11:AA65" ca="1" si="3">IFERROR(IF(AB11="","",IF(AB11&lt;=0.2,"Leve",IF(AB11&lt;=0.4,"Menor",IF(AB11&lt;=0.6,"Moderado",IF(AB11&lt;=0.8,"Mayor","Catastrófico"))))),"")</f>
        <v>Menor</v>
      </c>
      <c r="AB11" s="130">
        <f ca="1">IFERROR(IF(AND(Q10="Impacto",Q11="Impacto"),(AB10-(+AB10*T11)),IF(Q11="Impacto",($M$10-(+$M$10*T11)),IF(Q11="Probabilidad",AB10,""))),"")</f>
        <v>0.30000000000000004</v>
      </c>
      <c r="AC11" s="131" t="str">
        <f t="shared" ref="AC11"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320</v>
      </c>
      <c r="AF11" s="134" t="s">
        <v>321</v>
      </c>
      <c r="AG11" s="135">
        <v>45291</v>
      </c>
      <c r="AH11" s="135">
        <v>45271</v>
      </c>
      <c r="AI11" s="133" t="s">
        <v>368</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2">
        <v>2</v>
      </c>
      <c r="B12" s="191" t="s">
        <v>132</v>
      </c>
      <c r="C12" s="191" t="s">
        <v>370</v>
      </c>
      <c r="D12" s="191" t="s">
        <v>371</v>
      </c>
      <c r="E12" s="191" t="s">
        <v>369</v>
      </c>
      <c r="F12" s="191" t="s">
        <v>128</v>
      </c>
      <c r="G12" s="194">
        <v>258</v>
      </c>
      <c r="H12" s="203" t="str">
        <f>IF(G12&lt;=0,"",IF(G12&lt;=2,"Muy Baja",IF(G12&lt;=24,"Baja",IF(G12&lt;=500,"Media",IF(G12&lt;=5000,"Alta","Muy Alta")))))</f>
        <v>Media</v>
      </c>
      <c r="I12" s="206">
        <f>IF(H12="","",IF(H12="Muy Baja",0.2,IF(H12="Baja",0.4,IF(H12="Media",0.6,IF(H12="Alta",0.8,IF(H12="Muy Alta",1,))))))</f>
        <v>0.6</v>
      </c>
      <c r="J12" s="209" t="s">
        <v>154</v>
      </c>
      <c r="K12" s="206" t="str">
        <f ca="1">IF(NOT(ISERROR(MATCH(J12,'Tabla Impacto'!$B$221:$B$223,0))),'Tabla Impacto'!$F$223&amp;"Por favor no seleccionar los criterios de impacto(Afectación Económica o presupuestal y Pérdida Reputacional)",J12)</f>
        <v xml:space="preserve">     El riesgo afecta la imagen de la entidad internamente, de conocimiento general, nivel interno, de junta dircetiva y accionistas y/o de provedores</v>
      </c>
      <c r="L12" s="203" t="str">
        <f ca="1">IF(OR(K12='Tabla Impacto'!$C$11,K12='Tabla Impacto'!$D$11),"Leve",IF(OR(K12='Tabla Impacto'!$C$12,K12='Tabla Impacto'!$D$12),"Menor",IF(OR(K12='Tabla Impacto'!$C$13,K12='Tabla Impacto'!$D$13),"Moderado",IF(OR(K12='Tabla Impacto'!$C$14,K12='Tabla Impacto'!$D$14),"Mayor",IF(OR(K12='Tabla Impacto'!$C$15,K12='Tabla Impacto'!$D$15),"Catastrófico","")))))</f>
        <v>Menor</v>
      </c>
      <c r="M12" s="206">
        <f ca="1">IF(L12="","",IF(L12="Leve",0.2,IF(L12="Menor",0.4,IF(L12="Moderado",0.6,IF(L12="Mayor",0.8,IF(L12="Catastrófico",1,))))))</f>
        <v>0.4</v>
      </c>
      <c r="N12" s="197" t="str">
        <f ca="1">IF(OR(AND(H12="Muy Baja",L12="Leve"),AND(H12="Muy Baja",L12="Menor"),AND(H12="Baja",L12="Leve")),"Bajo",IF(OR(AND(H12="Muy baja",L12="Moderado"),AND(H12="Baja",L12="Menor"),AND(H12="Baja",L12="Moderado"),AND(H12="Media",L12="Leve"),AND(H12="Media",L12="Menor"),AND(H12="Media",L12="Moderado"),AND(H12="Alta",L12="Leve"),AND(H12="Alta",L12="Menor")),"Moderado",IF(OR(AND(H12="Muy Baja",L12="Mayor"),AND(H12="Baja",L12="Mayor"),AND(H12="Media",L12="Mayor"),AND(H12="Alta",L12="Moderado"),AND(H12="Alta",L12="Mayor"),AND(H12="Muy Alta",L12="Leve"),AND(H12="Muy Alta",L12="Menor"),AND(H12="Muy Alta",L12="Moderado"),AND(H12="Muy Alta",L12="Mayor")),"Alto",IF(OR(AND(H12="Muy Baja",L12="Catastrófico"),AND(H12="Baja",L12="Catastrófico"),AND(H12="Media",L12="Catastrófico"),AND(H12="Alta",L12="Catastrófico"),AND(H12="Muy Alta",L12="Catastrófico")),"Extremo",""))))</f>
        <v>Moderado</v>
      </c>
      <c r="O12" s="123">
        <v>1</v>
      </c>
      <c r="P12" s="124" t="s">
        <v>372</v>
      </c>
      <c r="Q12" s="125" t="str">
        <f>IF(OR(R12="Preventivo",R12="Detectivo"),"Probabilidad",IF(R12="Correctivo","Impacto",""))</f>
        <v>Probabilidad</v>
      </c>
      <c r="R12" s="126" t="s">
        <v>14</v>
      </c>
      <c r="S12" s="126" t="s">
        <v>9</v>
      </c>
      <c r="T12" s="127" t="str">
        <f>IF(AND(R12="Preventivo",S12="Automático"),"50%",IF(AND(R12="Preventivo",S12="Manual"),"40%",IF(AND(R12="Detectivo",S12="Automático"),"40%",IF(AND(R12="Detectivo",S12="Manual"),"30%",IF(AND(R12="Correctivo",S12="Automático"),"35%",IF(AND(R12="Correctivo",S12="Manual"),"25%",""))))))</f>
        <v>40%</v>
      </c>
      <c r="U12" s="126" t="s">
        <v>19</v>
      </c>
      <c r="V12" s="126" t="s">
        <v>22</v>
      </c>
      <c r="W12" s="126" t="s">
        <v>119</v>
      </c>
      <c r="X12" s="128">
        <f>IFERROR(IF(Q12="Probabilidad",(I12-(+I12*T12)),IF(Q12="Impacto",I12,"")),"")</f>
        <v>0.36</v>
      </c>
      <c r="Y12" s="129" t="str">
        <f>IFERROR(IF(X12="","",IF(X12&lt;=0.2,"Muy Baja",IF(X12&lt;=0.4,"Baja",IF(X12&lt;=0.6,"Media",IF(X12&lt;=0.8,"Alta","Muy Alta"))))),"")</f>
        <v>Baja</v>
      </c>
      <c r="Z12" s="130">
        <f>+X12</f>
        <v>0.36</v>
      </c>
      <c r="AA12" s="129" t="str">
        <f ca="1">IFERROR(IF(AB12="","",IF(AB12&lt;=0.2,"Leve",IF(AB12&lt;=0.4,"Menor",IF(AB12&lt;=0.6,"Moderado",IF(AB12&lt;=0.8,"Mayor","Catastrófico"))))),"")</f>
        <v>Menor</v>
      </c>
      <c r="AB12" s="130">
        <f ca="1">IFERROR(IF(Q12="Impacto",(M12-(+M12*T12)),IF(Q12="Probabilidad",M12,"")),"")</f>
        <v>0.4</v>
      </c>
      <c r="AC12" s="131" t="str">
        <f ca="1">IFERROR(IF(OR(AND(Y12="Muy Baja",AA12="Leve"),AND(Y12="Muy Baja",AA12="Menor"),AND(Y12="Baja",AA12="Leve")),"Bajo",IF(OR(AND(Y12="Muy baja",AA12="Moderado"),AND(Y12="Baja",AA12="Menor"),AND(Y12="Baja",AA12="Moderado"),AND(Y12="Media",AA12="Leve"),AND(Y12="Media",AA12="Menor"),AND(Y12="Media",AA12="Moderado"),AND(Y12="Alta",AA12="Leve"),AND(Y12="Alta",AA12="Menor")),"Moderado",IF(OR(AND(Y12="Muy Baja",AA12="Mayor"),AND(Y12="Baja",AA12="Mayor"),AND(Y12="Media",AA12="Mayor"),AND(Y12="Alta",AA12="Moderado"),AND(Y12="Alta",AA12="Mayor"),AND(Y12="Muy Alta",AA12="Leve"),AND(Y12="Muy Alta",AA12="Menor"),AND(Y12="Muy Alta",AA12="Moderado"),AND(Y12="Muy Alta",AA12="Mayor")),"Alto",IF(OR(AND(Y12="Muy Baja",AA12="Catastrófico"),AND(Y12="Baja",AA12="Catastrófico"),AND(Y12="Media",AA12="Catastrófico"),AND(Y12="Alta",AA12="Catastrófico"),AND(Y12="Muy Alta",AA12="Catastrófico")),"Extremo","")))),"")</f>
        <v>Moderado</v>
      </c>
      <c r="AD12" s="132" t="s">
        <v>136</v>
      </c>
      <c r="AE12" s="133" t="s">
        <v>415</v>
      </c>
      <c r="AF12" s="134" t="s">
        <v>373</v>
      </c>
      <c r="AG12" s="135">
        <v>45291</v>
      </c>
      <c r="AH12" s="135">
        <v>45271</v>
      </c>
      <c r="AI12" s="133" t="s">
        <v>416</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192"/>
      <c r="F13" s="192"/>
      <c r="G13" s="195"/>
      <c r="H13" s="204"/>
      <c r="I13" s="207"/>
      <c r="J13" s="210"/>
      <c r="K13" s="207">
        <f ca="1">IF(NOT(ISERROR(MATCH(J13,_xlfn.ANCHORARRAY(E24),0))),I26&amp;"Por favor no seleccionar los criterios de impacto",J13)</f>
        <v>0</v>
      </c>
      <c r="L13" s="204"/>
      <c r="M13" s="207"/>
      <c r="N13" s="198"/>
      <c r="O13" s="123">
        <v>2</v>
      </c>
      <c r="P13" s="124"/>
      <c r="Q13" s="125" t="str">
        <f>IF(OR(R13="Preventivo",R13="Detectivo"),"Probabilidad",IF(R13="Correctivo","Impacto",""))</f>
        <v/>
      </c>
      <c r="R13" s="126"/>
      <c r="S13" s="126"/>
      <c r="T13" s="127" t="str">
        <f t="shared" ref="T13:T17" si="5">IF(AND(R13="Preventivo",S13="Automático"),"50%",IF(AND(R13="Preventivo",S13="Manual"),"40%",IF(AND(R13="Detectivo",S13="Automático"),"40%",IF(AND(R13="Detectivo",S13="Manual"),"30%",IF(AND(R13="Correctivo",S13="Automático"),"35%",IF(AND(R13="Correctivo",S13="Manual"),"25%",""))))))</f>
        <v/>
      </c>
      <c r="U13" s="126"/>
      <c r="V13" s="126"/>
      <c r="W13" s="126"/>
      <c r="X13" s="128" t="str">
        <f>IFERROR(IF(AND(Q12="Probabilidad",Q13="Probabilidad"),(Z12-(+Z12*T13)),IF(Q13="Probabilidad",(I12-(+I12*T13)),IF(Q13="Impacto",Z12,""))),"")</f>
        <v/>
      </c>
      <c r="Y13" s="129" t="str">
        <f t="shared" si="1"/>
        <v/>
      </c>
      <c r="Z13" s="130" t="str">
        <f t="shared" ref="Z13:Z17" si="6">+X13</f>
        <v/>
      </c>
      <c r="AA13" s="129" t="str">
        <f t="shared" si="3"/>
        <v/>
      </c>
      <c r="AB13" s="130" t="str">
        <f>IFERROR(IF(AND(Q12="Impacto",Q13="Impacto"),(AB10-(+AB10*T13)),IF(Q13="Impacto",($M$12-(+$M$12*T13)),IF(Q13="Probabilidad",AB10,""))),"")</f>
        <v/>
      </c>
      <c r="AC13" s="131" t="str">
        <f t="shared" ref="AC13:AC14" si="7">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192"/>
      <c r="F14" s="192"/>
      <c r="G14" s="195"/>
      <c r="H14" s="204"/>
      <c r="I14" s="207"/>
      <c r="J14" s="210"/>
      <c r="K14" s="207">
        <f ca="1">IF(NOT(ISERROR(MATCH(J14,_xlfn.ANCHORARRAY(E25),0))),I27&amp;"Por favor no seleccionar los criterios de impacto",J14)</f>
        <v>0</v>
      </c>
      <c r="L14" s="204"/>
      <c r="M14" s="207"/>
      <c r="N14" s="198"/>
      <c r="O14" s="123">
        <v>3</v>
      </c>
      <c r="P14" s="124"/>
      <c r="Q14" s="125" t="str">
        <f>IF(OR(R14="Preventivo",R14="Detectivo"),"Probabilidad",IF(R14="Correctivo","Impacto",""))</f>
        <v/>
      </c>
      <c r="R14" s="126"/>
      <c r="S14" s="126"/>
      <c r="T14" s="127" t="str">
        <f t="shared" si="5"/>
        <v/>
      </c>
      <c r="U14" s="126"/>
      <c r="V14" s="126"/>
      <c r="W14" s="126"/>
      <c r="X14" s="128" t="str">
        <f>IFERROR(IF(AND(Q13="Probabilidad",Q14="Probabilidad"),(Z13-(+Z13*T14)),IF(AND(Q13="Impacto",Q14="Probabilidad"),(Z12-(+Z12*T14)),IF(Q14="Impacto",Z13,""))),"")</f>
        <v/>
      </c>
      <c r="Y14" s="129" t="str">
        <f t="shared" si="1"/>
        <v/>
      </c>
      <c r="Z14" s="130" t="str">
        <f t="shared" si="6"/>
        <v/>
      </c>
      <c r="AA14" s="129" t="str">
        <f t="shared" si="3"/>
        <v/>
      </c>
      <c r="AB14" s="130" t="str">
        <f>IFERROR(IF(AND(Q13="Impacto",Q14="Impacto"),(AB13-(+AB13*T14)),IF(AND(Q13="Probabilidad",Q14="Impacto"),(AB12-(+AB12*T14)),IF(Q14="Probabilidad",AB13,""))),"")</f>
        <v/>
      </c>
      <c r="AC14" s="131" t="str">
        <f t="shared" si="7"/>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3"/>
      <c r="B15" s="192"/>
      <c r="C15" s="192"/>
      <c r="D15" s="250"/>
      <c r="E15" s="250"/>
      <c r="F15" s="192"/>
      <c r="G15" s="195"/>
      <c r="H15" s="204"/>
      <c r="I15" s="207"/>
      <c r="J15" s="210"/>
      <c r="K15" s="207">
        <f ca="1">IF(NOT(ISERROR(MATCH(J15,_xlfn.ANCHORARRAY(E26),0))),I28&amp;"Por favor no seleccionar los criterios de impacto",J15)</f>
        <v>0</v>
      </c>
      <c r="L15" s="204"/>
      <c r="M15" s="207"/>
      <c r="N15" s="198"/>
      <c r="O15" s="123">
        <v>4</v>
      </c>
      <c r="P15" s="136"/>
      <c r="Q15" s="125" t="str">
        <f t="shared" ref="Q15:Q17" si="8">IF(OR(R15="Preventivo",R15="Detectivo"),"Probabilidad",IF(R15="Correctivo","Impacto",""))</f>
        <v/>
      </c>
      <c r="R15" s="126"/>
      <c r="S15" s="126"/>
      <c r="T15" s="127" t="str">
        <f t="shared" si="5"/>
        <v/>
      </c>
      <c r="U15" s="126"/>
      <c r="V15" s="126"/>
      <c r="W15" s="126"/>
      <c r="X15" s="128" t="str">
        <f t="shared" ref="X15:X17" si="9">IFERROR(IF(AND(Q14="Probabilidad",Q15="Probabilidad"),(Z14-(+Z14*T15)),IF(AND(Q14="Impacto",Q15="Probabilidad"),(Z13-(+Z13*T15)),IF(Q15="Impacto",Z14,""))),"")</f>
        <v/>
      </c>
      <c r="Y15" s="129" t="str">
        <f t="shared" si="1"/>
        <v/>
      </c>
      <c r="Z15" s="130" t="str">
        <f t="shared" si="6"/>
        <v/>
      </c>
      <c r="AA15" s="129" t="str">
        <f t="shared" si="3"/>
        <v/>
      </c>
      <c r="AB15" s="130" t="str">
        <f t="shared" ref="AB15:AB17" si="10">IFERROR(IF(AND(Q14="Impacto",Q15="Impacto"),(AB14-(+AB14*T15)),IF(AND(Q14="Probabilidad",Q15="Impacto"),(AB13-(+AB13*T15)),IF(Q15="Probabilidad",AB14,""))),"")</f>
        <v/>
      </c>
      <c r="AC15" s="131" t="str">
        <f>IFERROR(IF(OR(AND(Y15="Muy Baja",AA15="Leve"),AND(Y15="Muy Baja",AA15="Menor"),AND(Y15="Baja",AA15="Leve")),"Bajo",IF(OR(AND(Y15="Muy baja",AA15="Moderado"),AND(Y15="Baja",AA15="Menor"),AND(Y15="Baja",AA15="Moderado"),AND(Y15="Media",AA15="Leve"),AND(Y15="Media",AA15="Menor"),AND(Y15="Media",AA15="Moderado"),AND(Y15="Alta",AA15="Leve"),AND(Y15="Alta",AA15="Menor")),"Moderado",IF(OR(AND(Y15="Muy Baja",AA15="Mayor"),AND(Y15="Baja",AA15="Mayor"),AND(Y15="Media",AA15="Mayor"),AND(Y15="Alta",AA15="Moderado"),AND(Y15="Alta",AA15="Mayor"),AND(Y15="Muy Alta",AA15="Leve"),AND(Y15="Muy Alta",AA15="Menor"),AND(Y15="Muy Alta",AA15="Moderado"),AND(Y15="Muy Alta",AA15="Mayor")),"Alto",IF(OR(AND(Y15="Muy Baja",AA15="Catastrófico"),AND(Y15="Baja",AA15="Catastrófico"),AND(Y15="Media",AA15="Catastrófico"),AND(Y15="Alta",AA15="Catastrófico"),AND(Y15="Muy Alta",AA15="Catastrófico")),"Extremo","")))),"")</f>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3"/>
      <c r="B16" s="192"/>
      <c r="C16" s="192"/>
      <c r="D16" s="251"/>
      <c r="E16" s="251"/>
      <c r="F16" s="192"/>
      <c r="G16" s="195"/>
      <c r="H16" s="204"/>
      <c r="I16" s="207"/>
      <c r="J16" s="210"/>
      <c r="K16" s="207">
        <f ca="1">IF(NOT(ISERROR(MATCH(J16,_xlfn.ANCHORARRAY(E27),0))),I29&amp;"Por favor no seleccionar los criterios de impacto",J16)</f>
        <v>0</v>
      </c>
      <c r="L16" s="204"/>
      <c r="M16" s="207"/>
      <c r="N16" s="198"/>
      <c r="O16" s="123">
        <v>5</v>
      </c>
      <c r="P16" s="124"/>
      <c r="Q16" s="125" t="str">
        <f t="shared" si="8"/>
        <v/>
      </c>
      <c r="R16" s="126"/>
      <c r="S16" s="126"/>
      <c r="T16" s="127" t="str">
        <f t="shared" si="5"/>
        <v/>
      </c>
      <c r="U16" s="126"/>
      <c r="V16" s="126"/>
      <c r="W16" s="126"/>
      <c r="X16" s="128" t="str">
        <f t="shared" si="9"/>
        <v/>
      </c>
      <c r="Y16" s="129" t="str">
        <f t="shared" si="1"/>
        <v/>
      </c>
      <c r="Z16" s="130" t="str">
        <f t="shared" si="6"/>
        <v/>
      </c>
      <c r="AA16" s="129" t="str">
        <f t="shared" si="3"/>
        <v/>
      </c>
      <c r="AB16" s="130" t="str">
        <f t="shared" si="10"/>
        <v/>
      </c>
      <c r="AC16" s="131" t="str">
        <f t="shared" ref="AC16:AC17" si="1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4"/>
      <c r="B17" s="193"/>
      <c r="C17" s="193"/>
      <c r="D17" s="251"/>
      <c r="E17" s="251"/>
      <c r="F17" s="193"/>
      <c r="G17" s="196"/>
      <c r="H17" s="205"/>
      <c r="I17" s="208"/>
      <c r="J17" s="211"/>
      <c r="K17" s="208">
        <f ca="1">IF(NOT(ISERROR(MATCH(J17,_xlfn.ANCHORARRAY(E28),0))),I30&amp;"Por favor no seleccionar los criterios de impacto",J17)</f>
        <v>0</v>
      </c>
      <c r="L17" s="205"/>
      <c r="M17" s="208"/>
      <c r="N17" s="199"/>
      <c r="O17" s="123">
        <v>6</v>
      </c>
      <c r="P17" s="124"/>
      <c r="Q17" s="125" t="str">
        <f t="shared" si="8"/>
        <v/>
      </c>
      <c r="R17" s="126"/>
      <c r="S17" s="126"/>
      <c r="T17" s="127" t="str">
        <f t="shared" si="5"/>
        <v/>
      </c>
      <c r="U17" s="126"/>
      <c r="V17" s="126"/>
      <c r="W17" s="126"/>
      <c r="X17" s="128" t="str">
        <f t="shared" si="9"/>
        <v/>
      </c>
      <c r="Y17" s="129" t="str">
        <f t="shared" si="1"/>
        <v/>
      </c>
      <c r="Z17" s="130" t="str">
        <f t="shared" si="6"/>
        <v/>
      </c>
      <c r="AA17" s="129" t="str">
        <f t="shared" si="3"/>
        <v/>
      </c>
      <c r="AB17" s="130" t="str">
        <f t="shared" si="10"/>
        <v/>
      </c>
      <c r="AC17" s="131" t="str">
        <f t="shared" si="11"/>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2">
        <v>3</v>
      </c>
      <c r="B18" s="191"/>
      <c r="C18" s="191"/>
      <c r="D18" s="191"/>
      <c r="E18" s="215"/>
      <c r="F18" s="191"/>
      <c r="G18" s="194"/>
      <c r="H18" s="203" t="str">
        <f>IF(G18&lt;=0,"",IF(G18&lt;=2,"Muy Baja",IF(G18&lt;=24,"Baja",IF(G18&lt;=500,"Media",IF(G18&lt;=5000,"Alta","Muy Alta")))))</f>
        <v/>
      </c>
      <c r="I18" s="206" t="str">
        <f>IF(H18="","",IF(H18="Muy Baja",0.2,IF(H18="Baja",0.4,IF(H18="Media",0.6,IF(H18="Alta",0.8,IF(H18="Muy Alta",1,))))))</f>
        <v/>
      </c>
      <c r="J18" s="209"/>
      <c r="K18" s="206">
        <f ca="1">IF(NOT(ISERROR(MATCH(J18,'Tabla Impacto'!$B$221:$B$223,0))),'Tabla Impacto'!$F$223&amp;"Por favor no seleccionar los criterios de impacto(Afectación Económica o presupuestal y Pérdida Reputacional)",J18)</f>
        <v>0</v>
      </c>
      <c r="L18" s="203" t="str">
        <f ca="1">IF(OR(K18='Tabla Impacto'!$C$11,K18='Tabla Impacto'!$D$11),"Leve",IF(OR(K18='Tabla Impacto'!$C$12,K18='Tabla Impacto'!$D$12),"Menor",IF(OR(K18='Tabla Impacto'!$C$13,K18='Tabla Impacto'!$D$13),"Moderado",IF(OR(K18='Tabla Impacto'!$C$14,K18='Tabla Impacto'!$D$14),"Mayor",IF(OR(K18='Tabla Impacto'!$C$15,K18='Tabla Impacto'!$D$15),"Catastrófico","")))))</f>
        <v/>
      </c>
      <c r="M18" s="206" t="str">
        <f ca="1">IF(L18="","",IF(L18="Leve",0.2,IF(L18="Menor",0.4,IF(L18="Moderado",0.6,IF(L18="Mayor",0.8,IF(L18="Catastrófico",1,))))))</f>
        <v/>
      </c>
      <c r="N18" s="197" t="str">
        <f ca="1">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
      </c>
      <c r="O18" s="123">
        <v>1</v>
      </c>
      <c r="P18" s="124"/>
      <c r="Q18" s="125" t="str">
        <f>IF(OR(R18="Preventivo",R18="Detectivo"),"Probabilidad",IF(R18="Correctivo","Impacto",""))</f>
        <v/>
      </c>
      <c r="R18" s="126"/>
      <c r="S18" s="126"/>
      <c r="T18" s="127" t="str">
        <f>IF(AND(R18="Preventivo",S18="Automático"),"50%",IF(AND(R18="Preventivo",S18="Manual"),"40%",IF(AND(R18="Detectivo",S18="Automático"),"40%",IF(AND(R18="Detectivo",S18="Manual"),"30%",IF(AND(R18="Correctivo",S18="Automático"),"35%",IF(AND(R18="Correctivo",S18="Manual"),"25%",""))))))</f>
        <v/>
      </c>
      <c r="U18" s="126"/>
      <c r="V18" s="126"/>
      <c r="W18" s="126"/>
      <c r="X18" s="128" t="str">
        <f>IFERROR(IF(Q18="Probabilidad",(I18-(+I18*T18)),IF(Q18="Impacto",I18,"")),"")</f>
        <v/>
      </c>
      <c r="Y18" s="129" t="str">
        <f>IFERROR(IF(X18="","",IF(X18&lt;=0.2,"Muy Baja",IF(X18&lt;=0.4,"Baja",IF(X18&lt;=0.6,"Media",IF(X18&lt;=0.8,"Alta","Muy Alta"))))),"")</f>
        <v/>
      </c>
      <c r="Z18" s="130" t="str">
        <f>+X18</f>
        <v/>
      </c>
      <c r="AA18" s="129" t="str">
        <f>IFERROR(IF(AB18="","",IF(AB18&lt;=0.2,"Leve",IF(AB18&lt;=0.4,"Menor",IF(AB18&lt;=0.6,"Moderado",IF(AB18&lt;=0.8,"Mayor","Catastrófico"))))),"")</f>
        <v/>
      </c>
      <c r="AB18" s="130" t="str">
        <f>IFERROR(IF(Q18="Impacto",(M18-(+M18*T18)),IF(Q18="Probabilidad",M18,"")),"")</f>
        <v/>
      </c>
      <c r="AC18" s="131" t="str">
        <f>IFERROR(IF(OR(AND(Y18="Muy Baja",AA18="Leve"),AND(Y18="Muy Baja",AA18="Menor"),AND(Y18="Baja",AA18="Leve")),"Bajo",IF(OR(AND(Y18="Muy baja",AA18="Moderado"),AND(Y18="Baja",AA18="Menor"),AND(Y18="Baja",AA18="Moderado"),AND(Y18="Media",AA18="Leve"),AND(Y18="Media",AA18="Menor"),AND(Y18="Media",AA18="Moderado"),AND(Y18="Alta",AA18="Leve"),AND(Y18="Alta",AA18="Menor")),"Moderado",IF(OR(AND(Y18="Muy Baja",AA18="Mayor"),AND(Y18="Baja",AA18="Mayor"),AND(Y18="Media",AA18="Mayor"),AND(Y18="Alta",AA18="Moderado"),AND(Y18="Alta",AA18="Mayor"),AND(Y18="Muy Alta",AA18="Leve"),AND(Y18="Muy Alta",AA18="Menor"),AND(Y18="Muy Alta",AA18="Moderado"),AND(Y18="Muy Alta",AA18="Mayor")),"Alto",IF(OR(AND(Y18="Muy Baja",AA18="Catastrófico"),AND(Y18="Baja",AA18="Catastrófico"),AND(Y18="Media",AA18="Catastrófico"),AND(Y18="Alta",AA18="Catastrófico"),AND(Y18="Muy Alta",AA18="Catastrófico")),"Extremo","")))),"")</f>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192"/>
      <c r="E19" s="216"/>
      <c r="F19" s="192"/>
      <c r="G19" s="195"/>
      <c r="H19" s="204"/>
      <c r="I19" s="207"/>
      <c r="J19" s="210"/>
      <c r="K19" s="207">
        <f t="shared" ref="K19:K23" ca="1" si="12">IF(NOT(ISERROR(MATCH(J19,_xlfn.ANCHORARRAY(E30),0))),I32&amp;"Por favor no seleccionar los criterios de impacto",J19)</f>
        <v>0</v>
      </c>
      <c r="L19" s="204"/>
      <c r="M19" s="207"/>
      <c r="N19" s="198"/>
      <c r="O19" s="123">
        <v>2</v>
      </c>
      <c r="P19" s="124"/>
      <c r="Q19" s="125" t="str">
        <f>IF(OR(R19="Preventivo",R19="Detectivo"),"Probabilidad",IF(R19="Correctivo","Impacto",""))</f>
        <v/>
      </c>
      <c r="R19" s="126"/>
      <c r="S19" s="126"/>
      <c r="T19" s="127" t="str">
        <f t="shared" ref="T19:T23" si="13">IF(AND(R19="Preventivo",S19="Automático"),"50%",IF(AND(R19="Preventivo",S19="Manual"),"40%",IF(AND(R19="Detectivo",S19="Automático"),"40%",IF(AND(R19="Detectivo",S19="Manual"),"30%",IF(AND(R19="Correctivo",S19="Automático"),"35%",IF(AND(R19="Correctivo",S19="Manual"),"25%",""))))))</f>
        <v/>
      </c>
      <c r="U19" s="126"/>
      <c r="V19" s="126"/>
      <c r="W19" s="126"/>
      <c r="X19" s="137" t="str">
        <f>IFERROR(IF(AND(Q18="Probabilidad",Q19="Probabilidad"),(Z18-(+Z18*T19)),IF(Q19="Probabilidad",(I18-(+I18*T19)),IF(Q19="Impacto",Z18,""))),"")</f>
        <v/>
      </c>
      <c r="Y19" s="129" t="str">
        <f t="shared" si="1"/>
        <v/>
      </c>
      <c r="Z19" s="130" t="str">
        <f t="shared" ref="Z19:Z23" si="14">+X19</f>
        <v/>
      </c>
      <c r="AA19" s="129" t="str">
        <f t="shared" si="3"/>
        <v/>
      </c>
      <c r="AB19" s="130" t="str">
        <f>IFERROR(IF(AND(Q18="Impacto",Q19="Impacto"),(AB12-(+AB12*T19)),IF(Q19="Impacto",($M$18-(+$M$18*T19)),IF(Q19="Probabilidad",AB12,""))),"")</f>
        <v/>
      </c>
      <c r="AC19" s="131" t="str">
        <f t="shared" ref="AC19:AC20" si="15">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192"/>
      <c r="E20" s="216"/>
      <c r="F20" s="192"/>
      <c r="G20" s="195"/>
      <c r="H20" s="204"/>
      <c r="I20" s="207"/>
      <c r="J20" s="210"/>
      <c r="K20" s="207">
        <f t="shared" ca="1" si="12"/>
        <v>0</v>
      </c>
      <c r="L20" s="204"/>
      <c r="M20" s="207"/>
      <c r="N20" s="198"/>
      <c r="O20" s="123">
        <v>3</v>
      </c>
      <c r="P20" s="136"/>
      <c r="Q20" s="125" t="str">
        <f>IF(OR(R20="Preventivo",R20="Detectivo"),"Probabilidad",IF(R20="Correctivo","Impacto",""))</f>
        <v/>
      </c>
      <c r="R20" s="126"/>
      <c r="S20" s="126"/>
      <c r="T20" s="127" t="str">
        <f t="shared" si="13"/>
        <v/>
      </c>
      <c r="U20" s="126"/>
      <c r="V20" s="126"/>
      <c r="W20" s="126"/>
      <c r="X20" s="128" t="str">
        <f>IFERROR(IF(AND(Q19="Probabilidad",Q20="Probabilidad"),(Z19-(+Z19*T20)),IF(AND(Q19="Impacto",Q20="Probabilidad"),(Z18-(+Z18*T20)),IF(Q20="Impacto",Z19,""))),"")</f>
        <v/>
      </c>
      <c r="Y20" s="129" t="str">
        <f t="shared" si="1"/>
        <v/>
      </c>
      <c r="Z20" s="130" t="str">
        <f t="shared" si="14"/>
        <v/>
      </c>
      <c r="AA20" s="129" t="str">
        <f t="shared" si="3"/>
        <v/>
      </c>
      <c r="AB20" s="130" t="str">
        <f>IFERROR(IF(AND(Q19="Impacto",Q20="Impacto"),(AB19-(+AB19*T20)),IF(AND(Q19="Probabilidad",Q20="Impacto"),(AB18-(+AB18*T20)),IF(Q20="Probabilidad",AB19,""))),"")</f>
        <v/>
      </c>
      <c r="AC20" s="131" t="str">
        <f t="shared" si="15"/>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3"/>
      <c r="B21" s="192"/>
      <c r="C21" s="192"/>
      <c r="D21" s="192"/>
      <c r="E21" s="216"/>
      <c r="F21" s="192"/>
      <c r="G21" s="195"/>
      <c r="H21" s="204"/>
      <c r="I21" s="207"/>
      <c r="J21" s="210"/>
      <c r="K21" s="207">
        <f t="shared" ca="1" si="12"/>
        <v>0</v>
      </c>
      <c r="L21" s="204"/>
      <c r="M21" s="207"/>
      <c r="N21" s="198"/>
      <c r="O21" s="123">
        <v>4</v>
      </c>
      <c r="P21" s="124"/>
      <c r="Q21" s="125" t="str">
        <f t="shared" ref="Q21:Q23" si="16">IF(OR(R21="Preventivo",R21="Detectivo"),"Probabilidad",IF(R21="Correctivo","Impacto",""))</f>
        <v/>
      </c>
      <c r="R21" s="126"/>
      <c r="S21" s="126"/>
      <c r="T21" s="127" t="str">
        <f t="shared" si="13"/>
        <v/>
      </c>
      <c r="U21" s="126"/>
      <c r="V21" s="126"/>
      <c r="W21" s="126"/>
      <c r="X21" s="128" t="str">
        <f t="shared" ref="X21:X23" si="17">IFERROR(IF(AND(Q20="Probabilidad",Q21="Probabilidad"),(Z20-(+Z20*T21)),IF(AND(Q20="Impacto",Q21="Probabilidad"),(Z19-(+Z19*T21)),IF(Q21="Impacto",Z20,""))),"")</f>
        <v/>
      </c>
      <c r="Y21" s="129" t="str">
        <f t="shared" si="1"/>
        <v/>
      </c>
      <c r="Z21" s="130" t="str">
        <f t="shared" si="14"/>
        <v/>
      </c>
      <c r="AA21" s="129" t="str">
        <f t="shared" si="3"/>
        <v/>
      </c>
      <c r="AB21" s="130" t="str">
        <f t="shared" ref="AB21:AB23" si="18">IFERROR(IF(AND(Q20="Impacto",Q21="Impacto"),(AB20-(+AB20*T21)),IF(AND(Q20="Probabilidad",Q21="Impacto"),(AB19-(+AB19*T21)),IF(Q21="Probabilidad",AB20,""))),"")</f>
        <v/>
      </c>
      <c r="AC21" s="131"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3"/>
      <c r="B22" s="192"/>
      <c r="C22" s="192"/>
      <c r="D22" s="192"/>
      <c r="E22" s="216"/>
      <c r="F22" s="192"/>
      <c r="G22" s="195"/>
      <c r="H22" s="204"/>
      <c r="I22" s="207"/>
      <c r="J22" s="210"/>
      <c r="K22" s="207">
        <f t="shared" ca="1" si="12"/>
        <v>0</v>
      </c>
      <c r="L22" s="204"/>
      <c r="M22" s="207"/>
      <c r="N22" s="198"/>
      <c r="O22" s="123">
        <v>5</v>
      </c>
      <c r="P22" s="124"/>
      <c r="Q22" s="125" t="str">
        <f t="shared" si="16"/>
        <v/>
      </c>
      <c r="R22" s="126"/>
      <c r="S22" s="126"/>
      <c r="T22" s="127" t="str">
        <f t="shared" si="13"/>
        <v/>
      </c>
      <c r="U22" s="126"/>
      <c r="V22" s="126"/>
      <c r="W22" s="126"/>
      <c r="X22" s="128" t="str">
        <f t="shared" si="17"/>
        <v/>
      </c>
      <c r="Y22" s="129" t="str">
        <f t="shared" si="1"/>
        <v/>
      </c>
      <c r="Z22" s="130" t="str">
        <f t="shared" si="14"/>
        <v/>
      </c>
      <c r="AA22" s="129" t="str">
        <f t="shared" si="3"/>
        <v/>
      </c>
      <c r="AB22" s="130" t="str">
        <f t="shared" si="18"/>
        <v/>
      </c>
      <c r="AC22" s="131" t="str">
        <f t="shared" ref="AC22:AC23" si="19">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4"/>
      <c r="B23" s="193"/>
      <c r="C23" s="193"/>
      <c r="D23" s="193"/>
      <c r="E23" s="217"/>
      <c r="F23" s="193"/>
      <c r="G23" s="196"/>
      <c r="H23" s="205"/>
      <c r="I23" s="208"/>
      <c r="J23" s="211"/>
      <c r="K23" s="208">
        <f t="shared" ca="1" si="12"/>
        <v>0</v>
      </c>
      <c r="L23" s="205"/>
      <c r="M23" s="208"/>
      <c r="N23" s="199"/>
      <c r="O23" s="123">
        <v>6</v>
      </c>
      <c r="P23" s="124"/>
      <c r="Q23" s="125" t="str">
        <f t="shared" si="16"/>
        <v/>
      </c>
      <c r="R23" s="126"/>
      <c r="S23" s="126"/>
      <c r="T23" s="127" t="str">
        <f t="shared" si="13"/>
        <v/>
      </c>
      <c r="U23" s="126"/>
      <c r="V23" s="126"/>
      <c r="W23" s="126"/>
      <c r="X23" s="128" t="str">
        <f t="shared" si="17"/>
        <v/>
      </c>
      <c r="Y23" s="129" t="str">
        <f t="shared" si="1"/>
        <v/>
      </c>
      <c r="Z23" s="130" t="str">
        <f t="shared" si="14"/>
        <v/>
      </c>
      <c r="AA23" s="129" t="str">
        <f t="shared" si="3"/>
        <v/>
      </c>
      <c r="AB23" s="130" t="str">
        <f t="shared" si="18"/>
        <v/>
      </c>
      <c r="AC23" s="131" t="str">
        <f t="shared" si="19"/>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2">
        <v>4</v>
      </c>
      <c r="B24" s="191"/>
      <c r="C24" s="191"/>
      <c r="D24" s="191"/>
      <c r="E24" s="215"/>
      <c r="F24" s="191"/>
      <c r="G24" s="194"/>
      <c r="H24" s="203" t="str">
        <f>IF(G24&lt;=0,"",IF(G24&lt;=2,"Muy Baja",IF(G24&lt;=24,"Baja",IF(G24&lt;=500,"Media",IF(G24&lt;=5000,"Alta","Muy Alta")))))</f>
        <v/>
      </c>
      <c r="I24" s="206" t="str">
        <f>IF(H24="","",IF(H24="Muy Baja",0.2,IF(H24="Baja",0.4,IF(H24="Media",0.6,IF(H24="Alta",0.8,IF(H24="Muy Alta",1,))))))</f>
        <v/>
      </c>
      <c r="J24" s="209"/>
      <c r="K24" s="206">
        <f ca="1">IF(NOT(ISERROR(MATCH(J24,'Tabla Impacto'!$B$221:$B$223,0))),'Tabla Impacto'!$F$223&amp;"Por favor no seleccionar los criterios de impacto(Afectación Económica o presupuestal y Pérdida Reputacional)",J24)</f>
        <v>0</v>
      </c>
      <c r="L24" s="203" t="str">
        <f ca="1">IF(OR(K24='Tabla Impacto'!$C$11,K24='Tabla Impacto'!$D$11),"Leve",IF(OR(K24='Tabla Impacto'!$C$12,K24='Tabla Impacto'!$D$12),"Menor",IF(OR(K24='Tabla Impacto'!$C$13,K24='Tabla Impacto'!$D$13),"Moderado",IF(OR(K24='Tabla Impacto'!$C$14,K24='Tabla Impacto'!$D$14),"Mayor",IF(OR(K24='Tabla Impacto'!$C$15,K24='Tabla Impacto'!$D$15),"Catastrófico","")))))</f>
        <v/>
      </c>
      <c r="M24" s="206" t="str">
        <f ca="1">IF(L24="","",IF(L24="Leve",0.2,IF(L24="Menor",0.4,IF(L24="Moderado",0.6,IF(L24="Mayor",0.8,IF(L24="Catastrófico",1,))))))</f>
        <v/>
      </c>
      <c r="N24" s="197" t="str">
        <f ca="1">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
      </c>
      <c r="O24" s="123">
        <v>1</v>
      </c>
      <c r="P24" s="124"/>
      <c r="Q24" s="125" t="str">
        <f>IF(OR(R24="Preventivo",R24="Detectivo"),"Probabilidad",IF(R24="Correctivo","Impacto",""))</f>
        <v/>
      </c>
      <c r="R24" s="126"/>
      <c r="S24" s="126"/>
      <c r="T24" s="127" t="str">
        <f>IF(AND(R24="Preventivo",S24="Automático"),"50%",IF(AND(R24="Preventivo",S24="Manual"),"40%",IF(AND(R24="Detectivo",S24="Automático"),"40%",IF(AND(R24="Detectivo",S24="Manual"),"30%",IF(AND(R24="Correctivo",S24="Automático"),"35%",IF(AND(R24="Correctivo",S24="Manual"),"25%",""))))))</f>
        <v/>
      </c>
      <c r="U24" s="126"/>
      <c r="V24" s="126"/>
      <c r="W24" s="126"/>
      <c r="X24" s="128" t="str">
        <f>IFERROR(IF(Q24="Probabilidad",(I24-(+I24*T24)),IF(Q24="Impacto",I24,"")),"")</f>
        <v/>
      </c>
      <c r="Y24" s="129" t="str">
        <f>IFERROR(IF(X24="","",IF(X24&lt;=0.2,"Muy Baja",IF(X24&lt;=0.4,"Baja",IF(X24&lt;=0.6,"Media",IF(X24&lt;=0.8,"Alta","Muy Alta"))))),"")</f>
        <v/>
      </c>
      <c r="Z24" s="130" t="str">
        <f>+X24</f>
        <v/>
      </c>
      <c r="AA24" s="129" t="str">
        <f>IFERROR(IF(AB24="","",IF(AB24&lt;=0.2,"Leve",IF(AB24&lt;=0.4,"Menor",IF(AB24&lt;=0.6,"Moderado",IF(AB24&lt;=0.8,"Mayor","Catastrófico"))))),"")</f>
        <v/>
      </c>
      <c r="AB24" s="130" t="str">
        <f>IFERROR(IF(Q24="Impacto",(M24-(+M24*T24)),IF(Q24="Probabilidad",M24,"")),"")</f>
        <v/>
      </c>
      <c r="AC24" s="131" t="str">
        <f>IFERROR(IF(OR(AND(Y24="Muy Baja",AA24="Leve"),AND(Y24="Muy Baja",AA24="Menor"),AND(Y24="Baja",AA24="Leve")),"Bajo",IF(OR(AND(Y24="Muy baja",AA24="Moderado"),AND(Y24="Baja",AA24="Menor"),AND(Y24="Baja",AA24="Moderado"),AND(Y24="Media",AA24="Leve"),AND(Y24="Media",AA24="Menor"),AND(Y24="Media",AA24="Moderado"),AND(Y24="Alta",AA24="Leve"),AND(Y24="Alta",AA24="Menor")),"Moderado",IF(OR(AND(Y24="Muy Baja",AA24="Mayor"),AND(Y24="Baja",AA24="Mayor"),AND(Y24="Media",AA24="Mayor"),AND(Y24="Alta",AA24="Moderado"),AND(Y24="Alta",AA24="Mayor"),AND(Y24="Muy Alta",AA24="Leve"),AND(Y24="Muy Alta",AA24="Menor"),AND(Y24="Muy Alta",AA24="Moderado"),AND(Y24="Muy Alta",AA24="Mayor")),"Alto",IF(OR(AND(Y24="Muy Baja",AA24="Catastrófico"),AND(Y24="Baja",AA24="Catastrófico"),AND(Y24="Media",AA24="Catastrófico"),AND(Y24="Alta",AA24="Catastrófico"),AND(Y24="Muy Alta",AA24="Catastrófico")),"Extremo","")))),"")</f>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ref="K25:K29" ca="1" si="20">IF(NOT(ISERROR(MATCH(J25,_xlfn.ANCHORARRAY(E36),0))),I38&amp;"Por favor no seleccionar los criterios de impacto",J25)</f>
        <v>0</v>
      </c>
      <c r="L25" s="204"/>
      <c r="M25" s="207"/>
      <c r="N25" s="198"/>
      <c r="O25" s="123">
        <v>2</v>
      </c>
      <c r="P25" s="124"/>
      <c r="Q25" s="125" t="str">
        <f>IF(OR(R25="Preventivo",R25="Detectivo"),"Probabilidad",IF(R25="Correctivo","Impacto",""))</f>
        <v/>
      </c>
      <c r="R25" s="126"/>
      <c r="S25" s="126"/>
      <c r="T25" s="127" t="str">
        <f t="shared" ref="T25:T29" si="21">IF(AND(R25="Preventivo",S25="Automático"),"50%",IF(AND(R25="Preventivo",S25="Manual"),"40%",IF(AND(R25="Detectivo",S25="Automático"),"40%",IF(AND(R25="Detectivo",S25="Manual"),"30%",IF(AND(R25="Correctivo",S25="Automático"),"35%",IF(AND(R25="Correctivo",S25="Manual"),"25%",""))))))</f>
        <v/>
      </c>
      <c r="U25" s="126"/>
      <c r="V25" s="126"/>
      <c r="W25" s="126"/>
      <c r="X25" s="128" t="str">
        <f>IFERROR(IF(AND(Q24="Probabilidad",Q25="Probabilidad"),(Z24-(+Z24*T25)),IF(Q25="Probabilidad",(I24-(+I24*T25)),IF(Q25="Impacto",Z24,""))),"")</f>
        <v/>
      </c>
      <c r="Y25" s="129" t="str">
        <f t="shared" si="1"/>
        <v/>
      </c>
      <c r="Z25" s="130" t="str">
        <f t="shared" ref="Z25:Z29" si="22">+X25</f>
        <v/>
      </c>
      <c r="AA25" s="129" t="str">
        <f t="shared" si="3"/>
        <v/>
      </c>
      <c r="AB25" s="130" t="str">
        <f>IFERROR(IF(AND(Q24="Impacto",Q25="Impacto"),(AB18-(+AB18*T25)),IF(Q25="Impacto",($M$24-(+$M$24*T25)),IF(Q25="Probabilidad",AB18,""))),"")</f>
        <v/>
      </c>
      <c r="AC25" s="131" t="str">
        <f t="shared" ref="AC25:AC26" si="23">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20"/>
        <v>0</v>
      </c>
      <c r="L26" s="204"/>
      <c r="M26" s="207"/>
      <c r="N26" s="198"/>
      <c r="O26" s="123">
        <v>3</v>
      </c>
      <c r="P26" s="136"/>
      <c r="Q26" s="125" t="str">
        <f>IF(OR(R26="Preventivo",R26="Detectivo"),"Probabilidad",IF(R26="Correctivo","Impacto",""))</f>
        <v/>
      </c>
      <c r="R26" s="126"/>
      <c r="S26" s="126"/>
      <c r="T26" s="127" t="str">
        <f t="shared" si="21"/>
        <v/>
      </c>
      <c r="U26" s="126"/>
      <c r="V26" s="126"/>
      <c r="W26" s="126"/>
      <c r="X26" s="128" t="str">
        <f>IFERROR(IF(AND(Q25="Probabilidad",Q26="Probabilidad"),(Z25-(+Z25*T26)),IF(AND(Q25="Impacto",Q26="Probabilidad"),(Z24-(+Z24*T26)),IF(Q26="Impacto",Z25,""))),"")</f>
        <v/>
      </c>
      <c r="Y26" s="129" t="str">
        <f t="shared" si="1"/>
        <v/>
      </c>
      <c r="Z26" s="130" t="str">
        <f t="shared" si="22"/>
        <v/>
      </c>
      <c r="AA26" s="129" t="str">
        <f t="shared" si="3"/>
        <v/>
      </c>
      <c r="AB26" s="130" t="str">
        <f>IFERROR(IF(AND(Q25="Impacto",Q26="Impacto"),(AB25-(+AB25*T26)),IF(AND(Q25="Probabilidad",Q26="Impacto"),(AB24-(+AB24*T26)),IF(Q26="Probabilidad",AB25,""))),"")</f>
        <v/>
      </c>
      <c r="AC26" s="131" t="str">
        <f t="shared" si="23"/>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3"/>
      <c r="B27" s="192"/>
      <c r="C27" s="192"/>
      <c r="D27" s="192"/>
      <c r="E27" s="216"/>
      <c r="F27" s="192"/>
      <c r="G27" s="195"/>
      <c r="H27" s="204"/>
      <c r="I27" s="207"/>
      <c r="J27" s="210"/>
      <c r="K27" s="207">
        <f t="shared" ca="1" si="20"/>
        <v>0</v>
      </c>
      <c r="L27" s="204"/>
      <c r="M27" s="207"/>
      <c r="N27" s="198"/>
      <c r="O27" s="123">
        <v>4</v>
      </c>
      <c r="P27" s="124"/>
      <c r="Q27" s="125" t="str">
        <f t="shared" ref="Q27:Q29" si="24">IF(OR(R27="Preventivo",R27="Detectivo"),"Probabilidad",IF(R27="Correctivo","Impacto",""))</f>
        <v/>
      </c>
      <c r="R27" s="126"/>
      <c r="S27" s="126"/>
      <c r="T27" s="127" t="str">
        <f t="shared" si="21"/>
        <v/>
      </c>
      <c r="U27" s="126"/>
      <c r="V27" s="126"/>
      <c r="W27" s="126"/>
      <c r="X27" s="128" t="str">
        <f t="shared" ref="X27:X29" si="25">IFERROR(IF(AND(Q26="Probabilidad",Q27="Probabilidad"),(Z26-(+Z26*T27)),IF(AND(Q26="Impacto",Q27="Probabilidad"),(Z25-(+Z25*T27)),IF(Q27="Impacto",Z26,""))),"")</f>
        <v/>
      </c>
      <c r="Y27" s="129" t="str">
        <f t="shared" si="1"/>
        <v/>
      </c>
      <c r="Z27" s="130" t="str">
        <f t="shared" si="22"/>
        <v/>
      </c>
      <c r="AA27" s="129" t="str">
        <f t="shared" si="3"/>
        <v/>
      </c>
      <c r="AB27" s="130" t="str">
        <f t="shared" ref="AB27:AB29" si="26">IFERROR(IF(AND(Q26="Impacto",Q27="Impacto"),(AB26-(+AB26*T27)),IF(AND(Q26="Probabilidad",Q27="Impacto"),(AB25-(+AB25*T27)),IF(Q27="Probabilidad",AB26,""))),"")</f>
        <v/>
      </c>
      <c r="AC27" s="131" t="str">
        <f>IFERROR(IF(OR(AND(Y27="Muy Baja",AA27="Leve"),AND(Y27="Muy Baja",AA27="Menor"),AND(Y27="Baja",AA27="Leve")),"Bajo",IF(OR(AND(Y27="Muy baja",AA27="Moderado"),AND(Y27="Baja",AA27="Menor"),AND(Y27="Baja",AA27="Moderado"),AND(Y27="Media",AA27="Leve"),AND(Y27="Media",AA27="Menor"),AND(Y27="Media",AA27="Moderado"),AND(Y27="Alta",AA27="Leve"),AND(Y27="Alta",AA27="Menor")),"Moderado",IF(OR(AND(Y27="Muy Baja",AA27="Mayor"),AND(Y27="Baja",AA27="Mayor"),AND(Y27="Media",AA27="Mayor"),AND(Y27="Alta",AA27="Moderado"),AND(Y27="Alta",AA27="Mayor"),AND(Y27="Muy Alta",AA27="Leve"),AND(Y27="Muy Alta",AA27="Menor"),AND(Y27="Muy Alta",AA27="Moderado"),AND(Y27="Muy Alta",AA27="Mayor")),"Alto",IF(OR(AND(Y27="Muy Baja",AA27="Catastrófico"),AND(Y27="Baja",AA27="Catastrófico"),AND(Y27="Media",AA27="Catastrófico"),AND(Y27="Alta",AA27="Catastrófico"),AND(Y27="Muy Alta",AA27="Catastrófico")),"Extremo","")))),"")</f>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3"/>
      <c r="B28" s="192"/>
      <c r="C28" s="192"/>
      <c r="D28" s="192"/>
      <c r="E28" s="216"/>
      <c r="F28" s="192"/>
      <c r="G28" s="195"/>
      <c r="H28" s="204"/>
      <c r="I28" s="207"/>
      <c r="J28" s="210"/>
      <c r="K28" s="207">
        <f t="shared" ca="1" si="20"/>
        <v>0</v>
      </c>
      <c r="L28" s="204"/>
      <c r="M28" s="207"/>
      <c r="N28" s="198"/>
      <c r="O28" s="123">
        <v>5</v>
      </c>
      <c r="P28" s="124"/>
      <c r="Q28" s="125" t="str">
        <f t="shared" si="24"/>
        <v/>
      </c>
      <c r="R28" s="126"/>
      <c r="S28" s="126"/>
      <c r="T28" s="127" t="str">
        <f t="shared" si="21"/>
        <v/>
      </c>
      <c r="U28" s="126"/>
      <c r="V28" s="126"/>
      <c r="W28" s="126"/>
      <c r="X28" s="137" t="str">
        <f t="shared" si="25"/>
        <v/>
      </c>
      <c r="Y28" s="129" t="str">
        <f>IFERROR(IF(X28="","",IF(X28&lt;=0.2,"Muy Baja",IF(X28&lt;=0.4,"Baja",IF(X28&lt;=0.6,"Media",IF(X28&lt;=0.8,"Alta","Muy Alta"))))),"")</f>
        <v/>
      </c>
      <c r="Z28" s="130" t="str">
        <f t="shared" si="22"/>
        <v/>
      </c>
      <c r="AA28" s="129" t="str">
        <f t="shared" si="3"/>
        <v/>
      </c>
      <c r="AB28" s="130" t="str">
        <f t="shared" si="26"/>
        <v/>
      </c>
      <c r="AC28" s="131" t="str">
        <f t="shared" ref="AC28:AC29" si="27">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4"/>
      <c r="B29" s="193"/>
      <c r="C29" s="193"/>
      <c r="D29" s="193"/>
      <c r="E29" s="217"/>
      <c r="F29" s="193"/>
      <c r="G29" s="196"/>
      <c r="H29" s="205"/>
      <c r="I29" s="208"/>
      <c r="J29" s="211"/>
      <c r="K29" s="208">
        <f t="shared" ca="1" si="20"/>
        <v>0</v>
      </c>
      <c r="L29" s="205"/>
      <c r="M29" s="208"/>
      <c r="N29" s="199"/>
      <c r="O29" s="123">
        <v>6</v>
      </c>
      <c r="P29" s="124"/>
      <c r="Q29" s="125" t="str">
        <f t="shared" si="24"/>
        <v/>
      </c>
      <c r="R29" s="126"/>
      <c r="S29" s="126"/>
      <c r="T29" s="127" t="str">
        <f t="shared" si="21"/>
        <v/>
      </c>
      <c r="U29" s="126"/>
      <c r="V29" s="126"/>
      <c r="W29" s="126"/>
      <c r="X29" s="128" t="str">
        <f t="shared" si="25"/>
        <v/>
      </c>
      <c r="Y29" s="129" t="str">
        <f t="shared" si="1"/>
        <v/>
      </c>
      <c r="Z29" s="130" t="str">
        <f t="shared" si="22"/>
        <v/>
      </c>
      <c r="AA29" s="129" t="str">
        <f t="shared" si="3"/>
        <v/>
      </c>
      <c r="AB29" s="130" t="str">
        <f t="shared" si="26"/>
        <v/>
      </c>
      <c r="AC29" s="131" t="str">
        <f t="shared" si="27"/>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2">
        <v>5</v>
      </c>
      <c r="B30" s="191"/>
      <c r="C30" s="191"/>
      <c r="D30" s="191"/>
      <c r="E30" s="215"/>
      <c r="F30" s="191"/>
      <c r="G30" s="194"/>
      <c r="H30" s="203" t="str">
        <f>IF(G30&lt;=0,"",IF(G30&lt;=2,"Muy Baja",IF(G30&lt;=24,"Baja",IF(G30&lt;=500,"Media",IF(G30&lt;=5000,"Alta","Muy Alta")))))</f>
        <v/>
      </c>
      <c r="I30" s="206" t="str">
        <f>IF(H30="","",IF(H30="Muy Baja",0.2,IF(H30="Baja",0.4,IF(H30="Media",0.6,IF(H30="Alta",0.8,IF(H30="Muy Alta",1,))))))</f>
        <v/>
      </c>
      <c r="J30" s="209"/>
      <c r="K30" s="206">
        <f ca="1">IF(NOT(ISERROR(MATCH(J30,'Tabla Impacto'!$B$221:$B$223,0))),'Tabla Impacto'!$F$223&amp;"Por favor no seleccionar los criterios de impacto(Afectación Económica o presupuestal y Pérdida Reputacional)",J30)</f>
        <v>0</v>
      </c>
      <c r="L30" s="203" t="str">
        <f ca="1">IF(OR(K30='Tabla Impacto'!$C$11,K30='Tabla Impacto'!$D$11),"Leve",IF(OR(K30='Tabla Impacto'!$C$12,K30='Tabla Impacto'!$D$12),"Menor",IF(OR(K30='Tabla Impacto'!$C$13,K30='Tabla Impacto'!$D$13),"Moderado",IF(OR(K30='Tabla Impacto'!$C$14,K30='Tabla Impacto'!$D$14),"Mayor",IF(OR(K30='Tabla Impacto'!$C$15,K30='Tabla Impacto'!$D$15),"Catastrófico","")))))</f>
        <v/>
      </c>
      <c r="M30" s="206" t="str">
        <f ca="1">IF(L30="","",IF(L30="Leve",0.2,IF(L30="Menor",0.4,IF(L30="Moderado",0.6,IF(L30="Mayor",0.8,IF(L30="Catastrófico",1,))))))</f>
        <v/>
      </c>
      <c r="N30" s="197" t="str">
        <f ca="1">IF(OR(AND(H30="Muy Baja",L30="Leve"),AND(H30="Muy Baja",L30="Menor"),AND(H30="Baja",L30="Leve")),"Bajo",IF(OR(AND(H30="Muy baja",L30="Moderado"),AND(H30="Baja",L30="Menor"),AND(H30="Baja",L30="Moderado"),AND(H30="Media",L30="Leve"),AND(H30="Media",L30="Menor"),AND(H30="Media",L30="Moderado"),AND(H30="Alta",L30="Leve"),AND(H30="Alta",L30="Menor")),"Moderado",IF(OR(AND(H30="Muy Baja",L30="Mayor"),AND(H30="Baja",L30="Mayor"),AND(H30="Media",L30="Mayor"),AND(H30="Alta",L30="Moderado"),AND(H30="Alta",L30="Mayor"),AND(H30="Muy Alta",L30="Leve"),AND(H30="Muy Alta",L30="Menor"),AND(H30="Muy Alta",L30="Moderado"),AND(H30="Muy Alta",L30="Mayor")),"Alto",IF(OR(AND(H30="Muy Baja",L30="Catastrófico"),AND(H30="Baja",L30="Catastrófico"),AND(H30="Media",L30="Catastrófico"),AND(H30="Alta",L30="Catastrófico"),AND(H30="Muy Alta",L30="Catastrófico")),"Extremo",""))))</f>
        <v/>
      </c>
      <c r="O30" s="123">
        <v>1</v>
      </c>
      <c r="P30" s="124"/>
      <c r="Q30" s="125" t="str">
        <f>IF(OR(R30="Preventivo",R30="Detectivo"),"Probabilidad",IF(R30="Correctivo","Impacto",""))</f>
        <v/>
      </c>
      <c r="R30" s="126"/>
      <c r="S30" s="126"/>
      <c r="T30" s="127" t="str">
        <f>IF(AND(R30="Preventivo",S30="Automático"),"50%",IF(AND(R30="Preventivo",S30="Manual"),"40%",IF(AND(R30="Detectivo",S30="Automático"),"40%",IF(AND(R30="Detectivo",S30="Manual"),"30%",IF(AND(R30="Correctivo",S30="Automático"),"35%",IF(AND(R30="Correctivo",S30="Manual"),"25%",""))))))</f>
        <v/>
      </c>
      <c r="U30" s="126"/>
      <c r="V30" s="126"/>
      <c r="W30" s="126"/>
      <c r="X30" s="128" t="str">
        <f>IFERROR(IF(Q30="Probabilidad",(I30-(+I30*T30)),IF(Q30="Impacto",I30,"")),"")</f>
        <v/>
      </c>
      <c r="Y30" s="129" t="str">
        <f>IFERROR(IF(X30="","",IF(X30&lt;=0.2,"Muy Baja",IF(X30&lt;=0.4,"Baja",IF(X30&lt;=0.6,"Media",IF(X30&lt;=0.8,"Alta","Muy Alta"))))),"")</f>
        <v/>
      </c>
      <c r="Z30" s="130" t="str">
        <f>+X30</f>
        <v/>
      </c>
      <c r="AA30" s="129" t="str">
        <f>IFERROR(IF(AB30="","",IF(AB30&lt;=0.2,"Leve",IF(AB30&lt;=0.4,"Menor",IF(AB30&lt;=0.6,"Moderado",IF(AB30&lt;=0.8,"Mayor","Catastrófico"))))),"")</f>
        <v/>
      </c>
      <c r="AB30" s="130" t="str">
        <f>IFERROR(IF(Q30="Impacto",(M30-(+M30*T30)),IF(Q30="Probabilidad",M30,"")),"")</f>
        <v/>
      </c>
      <c r="AC30" s="131"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ref="K31:K35" ca="1" si="28">IF(NOT(ISERROR(MATCH(J31,_xlfn.ANCHORARRAY(E42),0))),I44&amp;"Por favor no seleccionar los criterios de impacto",J31)</f>
        <v>0</v>
      </c>
      <c r="L31" s="204"/>
      <c r="M31" s="207"/>
      <c r="N31" s="198"/>
      <c r="O31" s="123">
        <v>2</v>
      </c>
      <c r="P31" s="124"/>
      <c r="Q31" s="125" t="str">
        <f>IF(OR(R31="Preventivo",R31="Detectivo"),"Probabilidad",IF(R31="Correctivo","Impacto",""))</f>
        <v/>
      </c>
      <c r="R31" s="126"/>
      <c r="S31" s="126"/>
      <c r="T31" s="127" t="str">
        <f t="shared" ref="T31:T35" si="29">IF(AND(R31="Preventivo",S31="Automático"),"50%",IF(AND(R31="Preventivo",S31="Manual"),"40%",IF(AND(R31="Detectivo",S31="Automático"),"40%",IF(AND(R31="Detectivo",S31="Manual"),"30%",IF(AND(R31="Correctivo",S31="Automático"),"35%",IF(AND(R31="Correctivo",S31="Manual"),"25%",""))))))</f>
        <v/>
      </c>
      <c r="U31" s="126"/>
      <c r="V31" s="126"/>
      <c r="W31" s="126"/>
      <c r="X31" s="128" t="str">
        <f>IFERROR(IF(AND(Q30="Probabilidad",Q31="Probabilidad"),(Z30-(+Z30*T31)),IF(Q31="Probabilidad",(I30-(+I30*T31)),IF(Q31="Impacto",Z30,""))),"")</f>
        <v/>
      </c>
      <c r="Y31" s="129" t="str">
        <f t="shared" si="1"/>
        <v/>
      </c>
      <c r="Z31" s="130" t="str">
        <f t="shared" ref="Z31:Z35" si="30">+X31</f>
        <v/>
      </c>
      <c r="AA31" s="129" t="str">
        <f t="shared" si="3"/>
        <v/>
      </c>
      <c r="AB31" s="130" t="str">
        <f>IFERROR(IF(AND(Q30="Impacto",Q31="Impacto"),(AB24-(+AB24*T31)),IF(Q31="Impacto",($M$30-(+$M$30*T31)),IF(Q31="Probabilidad",AB24,""))),"")</f>
        <v/>
      </c>
      <c r="AC31" s="131" t="str">
        <f t="shared" ref="AC31:AC32" si="31">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8"/>
        <v>0</v>
      </c>
      <c r="L32" s="204"/>
      <c r="M32" s="207"/>
      <c r="N32" s="198"/>
      <c r="O32" s="123">
        <v>3</v>
      </c>
      <c r="P32" s="136"/>
      <c r="Q32" s="125" t="str">
        <f>IF(OR(R32="Preventivo",R32="Detectivo"),"Probabilidad",IF(R32="Correctivo","Impacto",""))</f>
        <v/>
      </c>
      <c r="R32" s="126"/>
      <c r="S32" s="126"/>
      <c r="T32" s="127" t="str">
        <f t="shared" si="29"/>
        <v/>
      </c>
      <c r="U32" s="126"/>
      <c r="V32" s="126"/>
      <c r="W32" s="126"/>
      <c r="X32" s="128" t="str">
        <f>IFERROR(IF(AND(Q31="Probabilidad",Q32="Probabilidad"),(Z31-(+Z31*T32)),IF(AND(Q31="Impacto",Q32="Probabilidad"),(Z30-(+Z30*T32)),IF(Q32="Impacto",Z31,""))),"")</f>
        <v/>
      </c>
      <c r="Y32" s="129" t="str">
        <f t="shared" si="1"/>
        <v/>
      </c>
      <c r="Z32" s="130" t="str">
        <f t="shared" si="30"/>
        <v/>
      </c>
      <c r="AA32" s="129" t="str">
        <f t="shared" si="3"/>
        <v/>
      </c>
      <c r="AB32" s="130" t="str">
        <f>IFERROR(IF(AND(Q31="Impacto",Q32="Impacto"),(AB31-(+AB31*T32)),IF(AND(Q31="Probabilidad",Q32="Impacto"),(AB30-(+AB30*T32)),IF(Q32="Probabilidad",AB31,""))),"")</f>
        <v/>
      </c>
      <c r="AC32" s="131" t="str">
        <f t="shared" si="31"/>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3"/>
      <c r="B33" s="192"/>
      <c r="C33" s="192"/>
      <c r="D33" s="192"/>
      <c r="E33" s="216"/>
      <c r="F33" s="192"/>
      <c r="G33" s="195"/>
      <c r="H33" s="204"/>
      <c r="I33" s="207"/>
      <c r="J33" s="210"/>
      <c r="K33" s="207">
        <f t="shared" ca="1" si="28"/>
        <v>0</v>
      </c>
      <c r="L33" s="204"/>
      <c r="M33" s="207"/>
      <c r="N33" s="198"/>
      <c r="O33" s="123">
        <v>4</v>
      </c>
      <c r="P33" s="124"/>
      <c r="Q33" s="125" t="str">
        <f t="shared" ref="Q33:Q35" si="32">IF(OR(R33="Preventivo",R33="Detectivo"),"Probabilidad",IF(R33="Correctivo","Impacto",""))</f>
        <v/>
      </c>
      <c r="R33" s="126"/>
      <c r="S33" s="126"/>
      <c r="T33" s="127" t="str">
        <f t="shared" si="29"/>
        <v/>
      </c>
      <c r="U33" s="126"/>
      <c r="V33" s="126"/>
      <c r="W33" s="126"/>
      <c r="X33" s="128" t="str">
        <f t="shared" ref="X33:X35" si="33">IFERROR(IF(AND(Q32="Probabilidad",Q33="Probabilidad"),(Z32-(+Z32*T33)),IF(AND(Q32="Impacto",Q33="Probabilidad"),(Z31-(+Z31*T33)),IF(Q33="Impacto",Z32,""))),"")</f>
        <v/>
      </c>
      <c r="Y33" s="129" t="str">
        <f t="shared" si="1"/>
        <v/>
      </c>
      <c r="Z33" s="130" t="str">
        <f t="shared" si="30"/>
        <v/>
      </c>
      <c r="AA33" s="129" t="str">
        <f t="shared" si="3"/>
        <v/>
      </c>
      <c r="AB33" s="130" t="str">
        <f t="shared" ref="AB33:AB35" si="34">IFERROR(IF(AND(Q32="Impacto",Q33="Impacto"),(AB32-(+AB32*T33)),IF(AND(Q32="Probabilidad",Q33="Impacto"),(AB31-(+AB31*T33)),IF(Q33="Probabilidad",AB32,""))),"")</f>
        <v/>
      </c>
      <c r="AC33" s="131" t="str">
        <f>IFERROR(IF(OR(AND(Y33="Muy Baja",AA33="Leve"),AND(Y33="Muy Baja",AA33="Menor"),AND(Y33="Baja",AA33="Leve")),"Bajo",IF(OR(AND(Y33="Muy baja",AA33="Moderado"),AND(Y33="Baja",AA33="Menor"),AND(Y33="Baja",AA33="Moderado"),AND(Y33="Media",AA33="Leve"),AND(Y33="Media",AA33="Menor"),AND(Y33="Media",AA33="Moderado"),AND(Y33="Alta",AA33="Leve"),AND(Y33="Alta",AA33="Menor")),"Moderado",IF(OR(AND(Y33="Muy Baja",AA33="Mayor"),AND(Y33="Baja",AA33="Mayor"),AND(Y33="Media",AA33="Mayor"),AND(Y33="Alta",AA33="Moderado"),AND(Y33="Alta",AA33="Mayor"),AND(Y33="Muy Alta",AA33="Leve"),AND(Y33="Muy Alta",AA33="Menor"),AND(Y33="Muy Alta",AA33="Moderado"),AND(Y33="Muy Alta",AA33="Mayor")),"Alto",IF(OR(AND(Y33="Muy Baja",AA33="Catastrófico"),AND(Y33="Baja",AA33="Catastrófico"),AND(Y33="Media",AA33="Catastrófico"),AND(Y33="Alta",AA33="Catastrófico"),AND(Y33="Muy Alta",AA33="Catastrófico")),"Extremo","")))),"")</f>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3"/>
      <c r="B34" s="192"/>
      <c r="C34" s="192"/>
      <c r="D34" s="192"/>
      <c r="E34" s="216"/>
      <c r="F34" s="192"/>
      <c r="G34" s="195"/>
      <c r="H34" s="204"/>
      <c r="I34" s="207"/>
      <c r="J34" s="210"/>
      <c r="K34" s="207">
        <f t="shared" ca="1" si="28"/>
        <v>0</v>
      </c>
      <c r="L34" s="204"/>
      <c r="M34" s="207"/>
      <c r="N34" s="198"/>
      <c r="O34" s="123">
        <v>5</v>
      </c>
      <c r="P34" s="124"/>
      <c r="Q34" s="125" t="str">
        <f t="shared" si="32"/>
        <v/>
      </c>
      <c r="R34" s="126"/>
      <c r="S34" s="126"/>
      <c r="T34" s="127" t="str">
        <f t="shared" si="29"/>
        <v/>
      </c>
      <c r="U34" s="126"/>
      <c r="V34" s="126"/>
      <c r="W34" s="126"/>
      <c r="X34" s="128" t="str">
        <f t="shared" si="33"/>
        <v/>
      </c>
      <c r="Y34" s="129" t="str">
        <f t="shared" si="1"/>
        <v/>
      </c>
      <c r="Z34" s="130" t="str">
        <f t="shared" si="30"/>
        <v/>
      </c>
      <c r="AA34" s="129" t="str">
        <f t="shared" si="3"/>
        <v/>
      </c>
      <c r="AB34" s="130" t="str">
        <f t="shared" si="34"/>
        <v/>
      </c>
      <c r="AC34" s="131" t="str">
        <f t="shared" ref="AC34:AC35" si="35">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4"/>
      <c r="B35" s="193"/>
      <c r="C35" s="193"/>
      <c r="D35" s="193"/>
      <c r="E35" s="217"/>
      <c r="F35" s="193"/>
      <c r="G35" s="196"/>
      <c r="H35" s="205"/>
      <c r="I35" s="208"/>
      <c r="J35" s="211"/>
      <c r="K35" s="208">
        <f t="shared" ca="1" si="28"/>
        <v>0</v>
      </c>
      <c r="L35" s="205"/>
      <c r="M35" s="208"/>
      <c r="N35" s="199"/>
      <c r="O35" s="123">
        <v>6</v>
      </c>
      <c r="P35" s="124"/>
      <c r="Q35" s="125" t="str">
        <f t="shared" si="32"/>
        <v/>
      </c>
      <c r="R35" s="126"/>
      <c r="S35" s="126"/>
      <c r="T35" s="127" t="str">
        <f t="shared" si="29"/>
        <v/>
      </c>
      <c r="U35" s="126"/>
      <c r="V35" s="126"/>
      <c r="W35" s="126"/>
      <c r="X35" s="128" t="str">
        <f t="shared" si="33"/>
        <v/>
      </c>
      <c r="Y35" s="129" t="str">
        <f t="shared" si="1"/>
        <v/>
      </c>
      <c r="Z35" s="130" t="str">
        <f t="shared" si="30"/>
        <v/>
      </c>
      <c r="AA35" s="129" t="str">
        <f t="shared" si="3"/>
        <v/>
      </c>
      <c r="AB35" s="130" t="str">
        <f t="shared" si="34"/>
        <v/>
      </c>
      <c r="AC35" s="131" t="str">
        <f t="shared" si="35"/>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2">
        <v>6</v>
      </c>
      <c r="B36" s="191"/>
      <c r="C36" s="191"/>
      <c r="D36" s="191"/>
      <c r="E36" s="215"/>
      <c r="F36" s="191"/>
      <c r="G36" s="194"/>
      <c r="H36" s="203" t="str">
        <f>IF(G36&lt;=0,"",IF(G36&lt;=2,"Muy Baja",IF(G36&lt;=24,"Baja",IF(G36&lt;=500,"Media",IF(G36&lt;=5000,"Alta","Muy Alta")))))</f>
        <v/>
      </c>
      <c r="I36" s="206" t="str">
        <f>IF(H36="","",IF(H36="Muy Baja",0.2,IF(H36="Baja",0.4,IF(H36="Media",0.6,IF(H36="Alta",0.8,IF(H36="Muy Alta",1,))))))</f>
        <v/>
      </c>
      <c r="J36" s="209"/>
      <c r="K36" s="206">
        <f ca="1">IF(NOT(ISERROR(MATCH(J36,'Tabla Impacto'!$B$221:$B$223,0))),'Tabla Impacto'!$F$223&amp;"Por favor no seleccionar los criterios de impacto(Afectación Económica o presupuestal y Pérdida Reputacional)",J36)</f>
        <v>0</v>
      </c>
      <c r="L36" s="203" t="str">
        <f ca="1">IF(OR(K36='Tabla Impacto'!$C$11,K36='Tabla Impacto'!$D$11),"Leve",IF(OR(K36='Tabla Impacto'!$C$12,K36='Tabla Impacto'!$D$12),"Menor",IF(OR(K36='Tabla Impacto'!$C$13,K36='Tabla Impacto'!$D$13),"Moderado",IF(OR(K36='Tabla Impacto'!$C$14,K36='Tabla Impacto'!$D$14),"Mayor",IF(OR(K36='Tabla Impacto'!$C$15,K36='Tabla Impacto'!$D$15),"Catastrófico","")))))</f>
        <v/>
      </c>
      <c r="M36" s="206" t="str">
        <f ca="1">IF(L36="","",IF(L36="Leve",0.2,IF(L36="Menor",0.4,IF(L36="Moderado",0.6,IF(L36="Mayor",0.8,IF(L36="Catastrófico",1,))))))</f>
        <v/>
      </c>
      <c r="N36" s="197" t="str">
        <f ca="1">IF(OR(AND(H36="Muy Baja",L36="Leve"),AND(H36="Muy Baja",L36="Menor"),AND(H36="Baja",L36="Leve")),"Bajo",IF(OR(AND(H36="Muy baja",L36="Moderado"),AND(H36="Baja",L36="Menor"),AND(H36="Baja",L36="Moderado"),AND(H36="Media",L36="Leve"),AND(H36="Media",L36="Menor"),AND(H36="Media",L36="Moderado"),AND(H36="Alta",L36="Leve"),AND(H36="Alta",L36="Menor")),"Moderado",IF(OR(AND(H36="Muy Baja",L36="Mayor"),AND(H36="Baja",L36="Mayor"),AND(H36="Media",L36="Mayor"),AND(H36="Alta",L36="Moderado"),AND(H36="Alta",L36="Mayor"),AND(H36="Muy Alta",L36="Leve"),AND(H36="Muy Alta",L36="Menor"),AND(H36="Muy Alta",L36="Moderado"),AND(H36="Muy Alta",L36="Mayor")),"Alto",IF(OR(AND(H36="Muy Baja",L36="Catastrófico"),AND(H36="Baja",L36="Catastrófico"),AND(H36="Media",L36="Catastrófico"),AND(H36="Alta",L36="Catastrófico"),AND(H36="Muy Alta",L36="Catastrófico")),"Extremo",""))))</f>
        <v/>
      </c>
      <c r="O36" s="123">
        <v>1</v>
      </c>
      <c r="P36" s="124"/>
      <c r="Q36" s="125" t="str">
        <f>IF(OR(R36="Preventivo",R36="Detectivo"),"Probabilidad",IF(R36="Correctivo","Impacto",""))</f>
        <v/>
      </c>
      <c r="R36" s="126"/>
      <c r="S36" s="126"/>
      <c r="T36" s="127" t="str">
        <f>IF(AND(R36="Preventivo",S36="Automático"),"50%",IF(AND(R36="Preventivo",S36="Manual"),"40%",IF(AND(R36="Detectivo",S36="Automático"),"40%",IF(AND(R36="Detectivo",S36="Manual"),"30%",IF(AND(R36="Correctivo",S36="Automático"),"35%",IF(AND(R36="Correctivo",S36="Manual"),"25%",""))))))</f>
        <v/>
      </c>
      <c r="U36" s="126"/>
      <c r="V36" s="126"/>
      <c r="W36" s="126"/>
      <c r="X36" s="128" t="str">
        <f>IFERROR(IF(Q36="Probabilidad",(I36-(+I36*T36)),IF(Q36="Impacto",I36,"")),"")</f>
        <v/>
      </c>
      <c r="Y36" s="129" t="str">
        <f>IFERROR(IF(X36="","",IF(X36&lt;=0.2,"Muy Baja",IF(X36&lt;=0.4,"Baja",IF(X36&lt;=0.6,"Media",IF(X36&lt;=0.8,"Alta","Muy Alta"))))),"")</f>
        <v/>
      </c>
      <c r="Z36" s="130" t="str">
        <f>+X36</f>
        <v/>
      </c>
      <c r="AA36" s="129" t="str">
        <f>IFERROR(IF(AB36="","",IF(AB36&lt;=0.2,"Leve",IF(AB36&lt;=0.4,"Menor",IF(AB36&lt;=0.6,"Moderado",IF(AB36&lt;=0.8,"Mayor","Catastrófico"))))),"")</f>
        <v/>
      </c>
      <c r="AB36" s="130" t="str">
        <f>IFERROR(IF(Q36="Impacto",(M36-(+M36*T36)),IF(Q36="Probabilidad",M36,"")),"")</f>
        <v/>
      </c>
      <c r="AC36" s="131" t="str">
        <f>IFERROR(IF(OR(AND(Y36="Muy Baja",AA36="Leve"),AND(Y36="Muy Baja",AA36="Menor"),AND(Y36="Baja",AA36="Leve")),"Bajo",IF(OR(AND(Y36="Muy baja",AA36="Moderado"),AND(Y36="Baja",AA36="Menor"),AND(Y36="Baja",AA36="Moderado"),AND(Y36="Media",AA36="Leve"),AND(Y36="Media",AA36="Menor"),AND(Y36="Media",AA36="Moderado"),AND(Y36="Alta",AA36="Leve"),AND(Y36="Alta",AA36="Menor")),"Moderado",IF(OR(AND(Y36="Muy Baja",AA36="Mayor"),AND(Y36="Baja",AA36="Mayor"),AND(Y36="Media",AA36="Mayor"),AND(Y36="Alta",AA36="Moderado"),AND(Y36="Alta",AA36="Mayor"),AND(Y36="Muy Alta",AA36="Leve"),AND(Y36="Muy Alta",AA36="Menor"),AND(Y36="Muy Alta",AA36="Moderado"),AND(Y36="Muy Alta",AA36="Mayor")),"Alto",IF(OR(AND(Y36="Muy Baja",AA36="Catastrófico"),AND(Y36="Baja",AA36="Catastrófico"),AND(Y36="Media",AA36="Catastrófico"),AND(Y36="Alta",AA36="Catastrófico"),AND(Y36="Muy Alta",AA36="Catastrófico")),"Extremo","")))),"")</f>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ref="K37:K41" ca="1" si="36">IF(NOT(ISERROR(MATCH(J37,_xlfn.ANCHORARRAY(E48),0))),I50&amp;"Por favor no seleccionar los criterios de impacto",J37)</f>
        <v>0</v>
      </c>
      <c r="L37" s="204"/>
      <c r="M37" s="207"/>
      <c r="N37" s="198"/>
      <c r="O37" s="123">
        <v>2</v>
      </c>
      <c r="P37" s="124"/>
      <c r="Q37" s="125" t="str">
        <f>IF(OR(R37="Preventivo",R37="Detectivo"),"Probabilidad",IF(R37="Correctivo","Impacto",""))</f>
        <v/>
      </c>
      <c r="R37" s="126"/>
      <c r="S37" s="126"/>
      <c r="T37" s="127" t="str">
        <f t="shared" ref="T37:T41" si="37">IF(AND(R37="Preventivo",S37="Automático"),"50%",IF(AND(R37="Preventivo",S37="Manual"),"40%",IF(AND(R37="Detectivo",S37="Automático"),"40%",IF(AND(R37="Detectivo",S37="Manual"),"30%",IF(AND(R37="Correctivo",S37="Automático"),"35%",IF(AND(R37="Correctivo",S37="Manual"),"25%",""))))))</f>
        <v/>
      </c>
      <c r="U37" s="126"/>
      <c r="V37" s="126"/>
      <c r="W37" s="126"/>
      <c r="X37" s="128" t="str">
        <f>IFERROR(IF(AND(Q36="Probabilidad",Q37="Probabilidad"),(Z36-(+Z36*T37)),IF(Q37="Probabilidad",(I36-(+I36*T37)),IF(Q37="Impacto",Z36,""))),"")</f>
        <v/>
      </c>
      <c r="Y37" s="129" t="str">
        <f t="shared" si="1"/>
        <v/>
      </c>
      <c r="Z37" s="130" t="str">
        <f t="shared" ref="Z37:Z41" si="38">+X37</f>
        <v/>
      </c>
      <c r="AA37" s="129" t="str">
        <f t="shared" si="3"/>
        <v/>
      </c>
      <c r="AB37" s="130" t="str">
        <f>IFERROR(IF(AND(Q36="Impacto",Q37="Impacto"),(AB30-(+AB30*T37)),IF(Q37="Impacto",($M$36-(+$M$36*T37)),IF(Q37="Probabilidad",AB30,""))),"")</f>
        <v/>
      </c>
      <c r="AC37" s="131" t="str">
        <f t="shared" ref="AC37:AC38" si="39">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6"/>
        <v>0</v>
      </c>
      <c r="L38" s="204"/>
      <c r="M38" s="207"/>
      <c r="N38" s="198"/>
      <c r="O38" s="123">
        <v>3</v>
      </c>
      <c r="P38" s="136"/>
      <c r="Q38" s="125" t="str">
        <f>IF(OR(R38="Preventivo",R38="Detectivo"),"Probabilidad",IF(R38="Correctivo","Impacto",""))</f>
        <v/>
      </c>
      <c r="R38" s="126"/>
      <c r="S38" s="126"/>
      <c r="T38" s="127" t="str">
        <f t="shared" si="37"/>
        <v/>
      </c>
      <c r="U38" s="126"/>
      <c r="V38" s="126"/>
      <c r="W38" s="126"/>
      <c r="X38" s="128" t="str">
        <f>IFERROR(IF(AND(Q37="Probabilidad",Q38="Probabilidad"),(Z37-(+Z37*T38)),IF(AND(Q37="Impacto",Q38="Probabilidad"),(Z36-(+Z36*T38)),IF(Q38="Impacto",Z37,""))),"")</f>
        <v/>
      </c>
      <c r="Y38" s="129" t="str">
        <f t="shared" si="1"/>
        <v/>
      </c>
      <c r="Z38" s="130" t="str">
        <f t="shared" si="38"/>
        <v/>
      </c>
      <c r="AA38" s="129" t="str">
        <f t="shared" si="3"/>
        <v/>
      </c>
      <c r="AB38" s="130" t="str">
        <f>IFERROR(IF(AND(Q37="Impacto",Q38="Impacto"),(AB37-(+AB37*T38)),IF(AND(Q37="Probabilidad",Q38="Impacto"),(AB36-(+AB36*T38)),IF(Q38="Probabilidad",AB37,""))),"")</f>
        <v/>
      </c>
      <c r="AC38" s="131" t="str">
        <f t="shared" si="39"/>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3"/>
      <c r="B39" s="192"/>
      <c r="C39" s="192"/>
      <c r="D39" s="192"/>
      <c r="E39" s="216"/>
      <c r="F39" s="192"/>
      <c r="G39" s="195"/>
      <c r="H39" s="204"/>
      <c r="I39" s="207"/>
      <c r="J39" s="210"/>
      <c r="K39" s="207">
        <f t="shared" ca="1" si="36"/>
        <v>0</v>
      </c>
      <c r="L39" s="204"/>
      <c r="M39" s="207"/>
      <c r="N39" s="198"/>
      <c r="O39" s="123">
        <v>4</v>
      </c>
      <c r="P39" s="124"/>
      <c r="Q39" s="125" t="str">
        <f t="shared" ref="Q39:Q41" si="40">IF(OR(R39="Preventivo",R39="Detectivo"),"Probabilidad",IF(R39="Correctivo","Impacto",""))</f>
        <v/>
      </c>
      <c r="R39" s="126"/>
      <c r="S39" s="126"/>
      <c r="T39" s="127" t="str">
        <f t="shared" si="37"/>
        <v/>
      </c>
      <c r="U39" s="126"/>
      <c r="V39" s="126"/>
      <c r="W39" s="126"/>
      <c r="X39" s="128" t="str">
        <f t="shared" ref="X39:X41" si="41">IFERROR(IF(AND(Q38="Probabilidad",Q39="Probabilidad"),(Z38-(+Z38*T39)),IF(AND(Q38="Impacto",Q39="Probabilidad"),(Z37-(+Z37*T39)),IF(Q39="Impacto",Z38,""))),"")</f>
        <v/>
      </c>
      <c r="Y39" s="129" t="str">
        <f t="shared" si="1"/>
        <v/>
      </c>
      <c r="Z39" s="130" t="str">
        <f t="shared" si="38"/>
        <v/>
      </c>
      <c r="AA39" s="129" t="str">
        <f t="shared" si="3"/>
        <v/>
      </c>
      <c r="AB39" s="130" t="str">
        <f t="shared" ref="AB39:AB41" si="42">IFERROR(IF(AND(Q38="Impacto",Q39="Impacto"),(AB38-(+AB38*T39)),IF(AND(Q38="Probabilidad",Q39="Impacto"),(AB37-(+AB37*T39)),IF(Q39="Probabilidad",AB38,""))),"")</f>
        <v/>
      </c>
      <c r="AC39" s="131" t="str">
        <f>IFERROR(IF(OR(AND(Y39="Muy Baja",AA39="Leve"),AND(Y39="Muy Baja",AA39="Menor"),AND(Y39="Baja",AA39="Leve")),"Bajo",IF(OR(AND(Y39="Muy baja",AA39="Moderado"),AND(Y39="Baja",AA39="Menor"),AND(Y39="Baja",AA39="Moderado"),AND(Y39="Media",AA39="Leve"),AND(Y39="Media",AA39="Menor"),AND(Y39="Media",AA39="Moderado"),AND(Y39="Alta",AA39="Leve"),AND(Y39="Alta",AA39="Menor")),"Moderado",IF(OR(AND(Y39="Muy Baja",AA39="Mayor"),AND(Y39="Baja",AA39="Mayor"),AND(Y39="Media",AA39="Mayor"),AND(Y39="Alta",AA39="Moderado"),AND(Y39="Alta",AA39="Mayor"),AND(Y39="Muy Alta",AA39="Leve"),AND(Y39="Muy Alta",AA39="Menor"),AND(Y39="Muy Alta",AA39="Moderado"),AND(Y39="Muy Alta",AA39="Mayor")),"Alto",IF(OR(AND(Y39="Muy Baja",AA39="Catastrófico"),AND(Y39="Baja",AA39="Catastrófico"),AND(Y39="Media",AA39="Catastrófico"),AND(Y39="Alta",AA39="Catastrófico"),AND(Y39="Muy Alta",AA39="Catastrófico")),"Extremo","")))),"")</f>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3"/>
      <c r="B40" s="192"/>
      <c r="C40" s="192"/>
      <c r="D40" s="192"/>
      <c r="E40" s="216"/>
      <c r="F40" s="192"/>
      <c r="G40" s="195"/>
      <c r="H40" s="204"/>
      <c r="I40" s="207"/>
      <c r="J40" s="210"/>
      <c r="K40" s="207">
        <f t="shared" ca="1" si="36"/>
        <v>0</v>
      </c>
      <c r="L40" s="204"/>
      <c r="M40" s="207"/>
      <c r="N40" s="198"/>
      <c r="O40" s="123">
        <v>5</v>
      </c>
      <c r="P40" s="124"/>
      <c r="Q40" s="125" t="str">
        <f t="shared" si="40"/>
        <v/>
      </c>
      <c r="R40" s="126"/>
      <c r="S40" s="126"/>
      <c r="T40" s="127" t="str">
        <f t="shared" si="37"/>
        <v/>
      </c>
      <c r="U40" s="126"/>
      <c r="V40" s="126"/>
      <c r="W40" s="126"/>
      <c r="X40" s="128" t="str">
        <f t="shared" si="41"/>
        <v/>
      </c>
      <c r="Y40" s="129" t="str">
        <f t="shared" si="1"/>
        <v/>
      </c>
      <c r="Z40" s="130" t="str">
        <f t="shared" si="38"/>
        <v/>
      </c>
      <c r="AA40" s="129" t="str">
        <f t="shared" si="3"/>
        <v/>
      </c>
      <c r="AB40" s="130" t="str">
        <f t="shared" si="42"/>
        <v/>
      </c>
      <c r="AC40" s="131" t="str">
        <f t="shared" ref="AC40" si="43">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4"/>
      <c r="B41" s="193"/>
      <c r="C41" s="193"/>
      <c r="D41" s="193"/>
      <c r="E41" s="217"/>
      <c r="F41" s="193"/>
      <c r="G41" s="196"/>
      <c r="H41" s="205"/>
      <c r="I41" s="208"/>
      <c r="J41" s="211"/>
      <c r="K41" s="208">
        <f t="shared" ca="1" si="36"/>
        <v>0</v>
      </c>
      <c r="L41" s="205"/>
      <c r="M41" s="208"/>
      <c r="N41" s="199"/>
      <c r="O41" s="123">
        <v>6</v>
      </c>
      <c r="P41" s="124"/>
      <c r="Q41" s="125" t="str">
        <f t="shared" si="40"/>
        <v/>
      </c>
      <c r="R41" s="126"/>
      <c r="S41" s="126"/>
      <c r="T41" s="127" t="str">
        <f t="shared" si="37"/>
        <v/>
      </c>
      <c r="U41" s="126"/>
      <c r="V41" s="126"/>
      <c r="W41" s="126"/>
      <c r="X41" s="128" t="str">
        <f t="shared" si="41"/>
        <v/>
      </c>
      <c r="Y41" s="129" t="str">
        <f t="shared" si="1"/>
        <v/>
      </c>
      <c r="Z41" s="130" t="str">
        <f t="shared" si="38"/>
        <v/>
      </c>
      <c r="AA41" s="129" t="str">
        <f>IFERROR(IF(AB41="","",IF(AB41&lt;=0.2,"Leve",IF(AB41&lt;=0.4,"Menor",IF(AB41&lt;=0.6,"Moderado",IF(AB41&lt;=0.8,"Mayor","Catastrófico"))))),"")</f>
        <v/>
      </c>
      <c r="AB41" s="130" t="str">
        <f t="shared" si="42"/>
        <v/>
      </c>
      <c r="AC41" s="131" t="str">
        <f>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2">
        <v>7</v>
      </c>
      <c r="B42" s="191"/>
      <c r="C42" s="191"/>
      <c r="D42" s="191"/>
      <c r="E42" s="215"/>
      <c r="F42" s="191"/>
      <c r="G42" s="194"/>
      <c r="H42" s="203" t="str">
        <f>IF(G42&lt;=0,"",IF(G42&lt;=2,"Muy Baja",IF(G42&lt;=24,"Baja",IF(G42&lt;=500,"Media",IF(G42&lt;=5000,"Alta","Muy Alta")))))</f>
        <v/>
      </c>
      <c r="I42" s="206" t="str">
        <f>IF(H42="","",IF(H42="Muy Baja",0.2,IF(H42="Baja",0.4,IF(H42="Media",0.6,IF(H42="Alta",0.8,IF(H42="Muy Alta",1,))))))</f>
        <v/>
      </c>
      <c r="J42" s="209"/>
      <c r="K42" s="206">
        <f ca="1">IF(NOT(ISERROR(MATCH(J42,'Tabla Impacto'!$B$221:$B$223,0))),'Tabla Impacto'!$F$223&amp;"Por favor no seleccionar los criterios de impacto(Afectación Económica o presupuestal y Pérdida Reputacional)",J42)</f>
        <v>0</v>
      </c>
      <c r="L42" s="203" t="str">
        <f ca="1">IF(OR(K42='Tabla Impacto'!$C$11,K42='Tabla Impacto'!$D$11),"Leve",IF(OR(K42='Tabla Impacto'!$C$12,K42='Tabla Impacto'!$D$12),"Menor",IF(OR(K42='Tabla Impacto'!$C$13,K42='Tabla Impacto'!$D$13),"Moderado",IF(OR(K42='Tabla Impacto'!$C$14,K42='Tabla Impacto'!$D$14),"Mayor",IF(OR(K42='Tabla Impacto'!$C$15,K42='Tabla Impacto'!$D$15),"Catastrófico","")))))</f>
        <v/>
      </c>
      <c r="M42" s="206" t="str">
        <f ca="1">IF(L42="","",IF(L42="Leve",0.2,IF(L42="Menor",0.4,IF(L42="Moderado",0.6,IF(L42="Mayor",0.8,IF(L42="Catastrófico",1,))))))</f>
        <v/>
      </c>
      <c r="N42" s="197" t="str">
        <f ca="1">IF(OR(AND(H42="Muy Baja",L42="Leve"),AND(H42="Muy Baja",L42="Menor"),AND(H42="Baja",L42="Leve")),"Bajo",IF(OR(AND(H42="Muy baja",L42="Moderado"),AND(H42="Baja",L42="Menor"),AND(H42="Baja",L42="Moderado"),AND(H42="Media",L42="Leve"),AND(H42="Media",L42="Menor"),AND(H42="Media",L42="Moderado"),AND(H42="Alta",L42="Leve"),AND(H42="Alta",L42="Menor")),"Moderado",IF(OR(AND(H42="Muy Baja",L42="Mayor"),AND(H42="Baja",L42="Mayor"),AND(H42="Media",L42="Mayor"),AND(H42="Alta",L42="Moderado"),AND(H42="Alta",L42="Mayor"),AND(H42="Muy Alta",L42="Leve"),AND(H42="Muy Alta",L42="Menor"),AND(H42="Muy Alta",L42="Moderado"),AND(H42="Muy Alta",L42="Mayor")),"Alto",IF(OR(AND(H42="Muy Baja",L42="Catastrófico"),AND(H42="Baja",L42="Catastrófico"),AND(H42="Media",L42="Catastrófico"),AND(H42="Alta",L42="Catastrófico"),AND(H42="Muy Alta",L42="Catastrófico")),"Extremo",""))))</f>
        <v/>
      </c>
      <c r="O42" s="123">
        <v>1</v>
      </c>
      <c r="P42" s="124"/>
      <c r="Q42" s="125" t="str">
        <f>IF(OR(R42="Preventivo",R42="Detectivo"),"Probabilidad",IF(R42="Correctivo","Impacto",""))</f>
        <v/>
      </c>
      <c r="R42" s="126"/>
      <c r="S42" s="126"/>
      <c r="T42" s="127" t="str">
        <f>IF(AND(R42="Preventivo",S42="Automático"),"50%",IF(AND(R42="Preventivo",S42="Manual"),"40%",IF(AND(R42="Detectivo",S42="Automático"),"40%",IF(AND(R42="Detectivo",S42="Manual"),"30%",IF(AND(R42="Correctivo",S42="Automático"),"35%",IF(AND(R42="Correctivo",S42="Manual"),"25%",""))))))</f>
        <v/>
      </c>
      <c r="U42" s="126"/>
      <c r="V42" s="126"/>
      <c r="W42" s="126"/>
      <c r="X42" s="128" t="str">
        <f>IFERROR(IF(Q42="Probabilidad",(I42-(+I42*T42)),IF(Q42="Impacto",I42,"")),"")</f>
        <v/>
      </c>
      <c r="Y42" s="129" t="str">
        <f>IFERROR(IF(X42="","",IF(X42&lt;=0.2,"Muy Baja",IF(X42&lt;=0.4,"Baja",IF(X42&lt;=0.6,"Media",IF(X42&lt;=0.8,"Alta","Muy Alta"))))),"")</f>
        <v/>
      </c>
      <c r="Z42" s="130" t="str">
        <f>+X42</f>
        <v/>
      </c>
      <c r="AA42" s="129" t="str">
        <f>IFERROR(IF(AB42="","",IF(AB42&lt;=0.2,"Leve",IF(AB42&lt;=0.4,"Menor",IF(AB42&lt;=0.6,"Moderado",IF(AB42&lt;=0.8,"Mayor","Catastrófico"))))),"")</f>
        <v/>
      </c>
      <c r="AB42" s="130" t="str">
        <f>IFERROR(IF(Q42="Impacto",(M42-(+M42*T42)),IF(Q42="Probabilidad",M42,"")),"")</f>
        <v/>
      </c>
      <c r="AC42" s="131" t="str">
        <f>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ref="K43:K47" ca="1" si="44">IF(NOT(ISERROR(MATCH(J43,_xlfn.ANCHORARRAY(E54),0))),I56&amp;"Por favor no seleccionar los criterios de impacto",J43)</f>
        <v>0</v>
      </c>
      <c r="L43" s="204"/>
      <c r="M43" s="207"/>
      <c r="N43" s="198"/>
      <c r="O43" s="123">
        <v>2</v>
      </c>
      <c r="P43" s="124"/>
      <c r="Q43" s="125" t="str">
        <f>IF(OR(R43="Preventivo",R43="Detectivo"),"Probabilidad",IF(R43="Correctivo","Impacto",""))</f>
        <v/>
      </c>
      <c r="R43" s="126"/>
      <c r="S43" s="126"/>
      <c r="T43" s="127" t="str">
        <f t="shared" ref="T43:T47" si="45">IF(AND(R43="Preventivo",S43="Automático"),"50%",IF(AND(R43="Preventivo",S43="Manual"),"40%",IF(AND(R43="Detectivo",S43="Automático"),"40%",IF(AND(R43="Detectivo",S43="Manual"),"30%",IF(AND(R43="Correctivo",S43="Automático"),"35%",IF(AND(R43="Correctivo",S43="Manual"),"25%",""))))))</f>
        <v/>
      </c>
      <c r="U43" s="126"/>
      <c r="V43" s="126"/>
      <c r="W43" s="126"/>
      <c r="X43" s="128" t="str">
        <f>IFERROR(IF(AND(Q42="Probabilidad",Q43="Probabilidad"),(Z42-(+Z42*T43)),IF(Q43="Probabilidad",(I42-(+I42*T43)),IF(Q43="Impacto",Z42,""))),"")</f>
        <v/>
      </c>
      <c r="Y43" s="129" t="str">
        <f t="shared" si="1"/>
        <v/>
      </c>
      <c r="Z43" s="130" t="str">
        <f t="shared" ref="Z43:Z47" si="46">+X43</f>
        <v/>
      </c>
      <c r="AA43" s="129" t="str">
        <f t="shared" si="3"/>
        <v/>
      </c>
      <c r="AB43" s="130" t="str">
        <f>IFERROR(IF(AND(Q42="Impacto",Q43="Impacto"),(AB36-(+AB36*T43)),IF(Q43="Impacto",($M$42-(+$M$42*T43)),IF(Q43="Probabilidad",AB36,""))),"")</f>
        <v/>
      </c>
      <c r="AC43" s="131" t="str">
        <f t="shared" ref="AC43:AC44" si="47">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44"/>
        <v>0</v>
      </c>
      <c r="L44" s="204"/>
      <c r="M44" s="207"/>
      <c r="N44" s="198"/>
      <c r="O44" s="123">
        <v>3</v>
      </c>
      <c r="P44" s="136"/>
      <c r="Q44" s="125" t="str">
        <f>IF(OR(R44="Preventivo",R44="Detectivo"),"Probabilidad",IF(R44="Correctivo","Impacto",""))</f>
        <v/>
      </c>
      <c r="R44" s="126"/>
      <c r="S44" s="126"/>
      <c r="T44" s="127" t="str">
        <f t="shared" si="45"/>
        <v/>
      </c>
      <c r="U44" s="126"/>
      <c r="V44" s="126"/>
      <c r="W44" s="126"/>
      <c r="X44" s="128" t="str">
        <f>IFERROR(IF(AND(Q43="Probabilidad",Q44="Probabilidad"),(Z43-(+Z43*T44)),IF(AND(Q43="Impacto",Q44="Probabilidad"),(Z42-(+Z42*T44)),IF(Q44="Impacto",Z43,""))),"")</f>
        <v/>
      </c>
      <c r="Y44" s="129" t="str">
        <f t="shared" si="1"/>
        <v/>
      </c>
      <c r="Z44" s="130" t="str">
        <f t="shared" si="46"/>
        <v/>
      </c>
      <c r="AA44" s="129" t="str">
        <f t="shared" si="3"/>
        <v/>
      </c>
      <c r="AB44" s="130" t="str">
        <f>IFERROR(IF(AND(Q43="Impacto",Q44="Impacto"),(AB43-(+AB43*T44)),IF(AND(Q43="Probabilidad",Q44="Impacto"),(AB42-(+AB42*T44)),IF(Q44="Probabilidad",AB43,""))),"")</f>
        <v/>
      </c>
      <c r="AC44" s="131" t="str">
        <f t="shared" si="47"/>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3"/>
      <c r="B45" s="192"/>
      <c r="C45" s="192"/>
      <c r="D45" s="192"/>
      <c r="E45" s="216"/>
      <c r="F45" s="192"/>
      <c r="G45" s="195"/>
      <c r="H45" s="204"/>
      <c r="I45" s="207"/>
      <c r="J45" s="210"/>
      <c r="K45" s="207">
        <f t="shared" ca="1" si="44"/>
        <v>0</v>
      </c>
      <c r="L45" s="204"/>
      <c r="M45" s="207"/>
      <c r="N45" s="198"/>
      <c r="O45" s="123">
        <v>4</v>
      </c>
      <c r="P45" s="124"/>
      <c r="Q45" s="125" t="str">
        <f t="shared" ref="Q45:Q47" si="48">IF(OR(R45="Preventivo",R45="Detectivo"),"Probabilidad",IF(R45="Correctivo","Impacto",""))</f>
        <v/>
      </c>
      <c r="R45" s="126"/>
      <c r="S45" s="126"/>
      <c r="T45" s="127" t="str">
        <f t="shared" si="45"/>
        <v/>
      </c>
      <c r="U45" s="126"/>
      <c r="V45" s="126"/>
      <c r="W45" s="126"/>
      <c r="X45" s="128" t="str">
        <f t="shared" ref="X45:X47" si="49">IFERROR(IF(AND(Q44="Probabilidad",Q45="Probabilidad"),(Z44-(+Z44*T45)),IF(AND(Q44="Impacto",Q45="Probabilidad"),(Z43-(+Z43*T45)),IF(Q45="Impacto",Z44,""))),"")</f>
        <v/>
      </c>
      <c r="Y45" s="129" t="str">
        <f t="shared" si="1"/>
        <v/>
      </c>
      <c r="Z45" s="130" t="str">
        <f t="shared" si="46"/>
        <v/>
      </c>
      <c r="AA45" s="129" t="str">
        <f t="shared" si="3"/>
        <v/>
      </c>
      <c r="AB45" s="130" t="str">
        <f t="shared" ref="AB45:AB47" si="50">IFERROR(IF(AND(Q44="Impacto",Q45="Impacto"),(AB44-(+AB44*T45)),IF(AND(Q44="Probabilidad",Q45="Impacto"),(AB43-(+AB43*T45)),IF(Q45="Probabilidad",AB44,""))),"")</f>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3"/>
      <c r="B46" s="192"/>
      <c r="C46" s="192"/>
      <c r="D46" s="192"/>
      <c r="E46" s="216"/>
      <c r="F46" s="192"/>
      <c r="G46" s="195"/>
      <c r="H46" s="204"/>
      <c r="I46" s="207"/>
      <c r="J46" s="210"/>
      <c r="K46" s="207">
        <f t="shared" ca="1" si="44"/>
        <v>0</v>
      </c>
      <c r="L46" s="204"/>
      <c r="M46" s="207"/>
      <c r="N46" s="198"/>
      <c r="O46" s="123">
        <v>5</v>
      </c>
      <c r="P46" s="124"/>
      <c r="Q46" s="125" t="str">
        <f t="shared" si="48"/>
        <v/>
      </c>
      <c r="R46" s="126"/>
      <c r="S46" s="126"/>
      <c r="T46" s="127" t="str">
        <f t="shared" si="45"/>
        <v/>
      </c>
      <c r="U46" s="126"/>
      <c r="V46" s="126"/>
      <c r="W46" s="126"/>
      <c r="X46" s="128" t="str">
        <f t="shared" si="49"/>
        <v/>
      </c>
      <c r="Y46" s="129" t="str">
        <f t="shared" si="1"/>
        <v/>
      </c>
      <c r="Z46" s="130" t="str">
        <f t="shared" si="46"/>
        <v/>
      </c>
      <c r="AA46" s="129" t="str">
        <f t="shared" si="3"/>
        <v/>
      </c>
      <c r="AB46" s="130" t="str">
        <f t="shared" si="50"/>
        <v/>
      </c>
      <c r="AC46" s="131" t="str">
        <f t="shared" ref="AC46:AC47" si="51">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4"/>
      <c r="B47" s="193"/>
      <c r="C47" s="193"/>
      <c r="D47" s="193"/>
      <c r="E47" s="217"/>
      <c r="F47" s="193"/>
      <c r="G47" s="196"/>
      <c r="H47" s="205"/>
      <c r="I47" s="208"/>
      <c r="J47" s="211"/>
      <c r="K47" s="208">
        <f t="shared" ca="1" si="44"/>
        <v>0</v>
      </c>
      <c r="L47" s="205"/>
      <c r="M47" s="208"/>
      <c r="N47" s="199"/>
      <c r="O47" s="123">
        <v>6</v>
      </c>
      <c r="P47" s="124"/>
      <c r="Q47" s="125" t="str">
        <f t="shared" si="48"/>
        <v/>
      </c>
      <c r="R47" s="126"/>
      <c r="S47" s="126"/>
      <c r="T47" s="127" t="str">
        <f t="shared" si="45"/>
        <v/>
      </c>
      <c r="U47" s="126"/>
      <c r="V47" s="126"/>
      <c r="W47" s="126"/>
      <c r="X47" s="128" t="str">
        <f t="shared" si="49"/>
        <v/>
      </c>
      <c r="Y47" s="129" t="str">
        <f t="shared" si="1"/>
        <v/>
      </c>
      <c r="Z47" s="130" t="str">
        <f t="shared" si="46"/>
        <v/>
      </c>
      <c r="AA47" s="129" t="str">
        <f t="shared" si="3"/>
        <v/>
      </c>
      <c r="AB47" s="130" t="str">
        <f t="shared" si="50"/>
        <v/>
      </c>
      <c r="AC47" s="131" t="str">
        <f t="shared" si="51"/>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2">
        <v>8</v>
      </c>
      <c r="B48" s="191"/>
      <c r="C48" s="191"/>
      <c r="D48" s="191"/>
      <c r="E48" s="215"/>
      <c r="F48" s="191"/>
      <c r="G48" s="194"/>
      <c r="H48" s="203" t="str">
        <f>IF(G48&lt;=0,"",IF(G48&lt;=2,"Muy Baja",IF(G48&lt;=24,"Baja",IF(G48&lt;=500,"Media",IF(G48&lt;=5000,"Alta","Muy Alta")))))</f>
        <v/>
      </c>
      <c r="I48" s="206" t="str">
        <f>IF(H48="","",IF(H48="Muy Baja",0.2,IF(H48="Baja",0.4,IF(H48="Media",0.6,IF(H48="Alta",0.8,IF(H48="Muy Alta",1,))))))</f>
        <v/>
      </c>
      <c r="J48" s="209"/>
      <c r="K48" s="206">
        <f ca="1">IF(NOT(ISERROR(MATCH(J48,'Tabla Impacto'!$B$221:$B$223,0))),'Tabla Impacto'!$F$223&amp;"Por favor no seleccionar los criterios de impacto(Afectación Económica o presupuestal y Pérdida Reputacional)",J48)</f>
        <v>0</v>
      </c>
      <c r="L48" s="203" t="str">
        <f ca="1">IF(OR(K48='Tabla Impacto'!$C$11,K48='Tabla Impacto'!$D$11),"Leve",IF(OR(K48='Tabla Impacto'!$C$12,K48='Tabla Impacto'!$D$12),"Menor",IF(OR(K48='Tabla Impacto'!$C$13,K48='Tabla Impacto'!$D$13),"Moderado",IF(OR(K48='Tabla Impacto'!$C$14,K48='Tabla Impacto'!$D$14),"Mayor",IF(OR(K48='Tabla Impacto'!$C$15,K48='Tabla Impacto'!$D$15),"Catastrófico","")))))</f>
        <v/>
      </c>
      <c r="M48" s="206" t="str">
        <f ca="1">IF(L48="","",IF(L48="Leve",0.2,IF(L48="Menor",0.4,IF(L48="Moderado",0.6,IF(L48="Mayor",0.8,IF(L48="Catastrófico",1,))))))</f>
        <v/>
      </c>
      <c r="N48" s="197" t="str">
        <f ca="1">IF(OR(AND(H48="Muy Baja",L48="Leve"),AND(H48="Muy Baja",L48="Menor"),AND(H48="Baja",L48="Leve")),"Bajo",IF(OR(AND(H48="Muy baja",L48="Moderado"),AND(H48="Baja",L48="Menor"),AND(H48="Baja",L48="Moderado"),AND(H48="Media",L48="Leve"),AND(H48="Media",L48="Menor"),AND(H48="Media",L48="Moderado"),AND(H48="Alta",L48="Leve"),AND(H48="Alta",L48="Menor")),"Moderado",IF(OR(AND(H48="Muy Baja",L48="Mayor"),AND(H48="Baja",L48="Mayor"),AND(H48="Media",L48="Mayor"),AND(H48="Alta",L48="Moderado"),AND(H48="Alta",L48="Mayor"),AND(H48="Muy Alta",L48="Leve"),AND(H48="Muy Alta",L48="Menor"),AND(H48="Muy Alta",L48="Moderado"),AND(H48="Muy Alta",L48="Mayor")),"Alto",IF(OR(AND(H48="Muy Baja",L48="Catastrófico"),AND(H48="Baja",L48="Catastrófico"),AND(H48="Media",L48="Catastrófico"),AND(H48="Alta",L48="Catastrófico"),AND(H48="Muy Alta",L48="Catastrófico")),"Extremo",""))))</f>
        <v/>
      </c>
      <c r="O48" s="123">
        <v>1</v>
      </c>
      <c r="P48" s="124"/>
      <c r="Q48" s="125" t="str">
        <f>IF(OR(R48="Preventivo",R48="Detectivo"),"Probabilidad",IF(R48="Correctivo","Impacto",""))</f>
        <v/>
      </c>
      <c r="R48" s="126"/>
      <c r="S48" s="126"/>
      <c r="T48" s="127" t="str">
        <f>IF(AND(R48="Preventivo",S48="Automático"),"50%",IF(AND(R48="Preventivo",S48="Manual"),"40%",IF(AND(R48="Detectivo",S48="Automático"),"40%",IF(AND(R48="Detectivo",S48="Manual"),"30%",IF(AND(R48="Correctivo",S48="Automático"),"35%",IF(AND(R48="Correctivo",S48="Manual"),"25%",""))))))</f>
        <v/>
      </c>
      <c r="U48" s="126"/>
      <c r="V48" s="126"/>
      <c r="W48" s="126"/>
      <c r="X48" s="128" t="str">
        <f>IFERROR(IF(Q48="Probabilidad",(I48-(+I48*T48)),IF(Q48="Impacto",I48,"")),"")</f>
        <v/>
      </c>
      <c r="Y48" s="129" t="str">
        <f>IFERROR(IF(X48="","",IF(X48&lt;=0.2,"Muy Baja",IF(X48&lt;=0.4,"Baja",IF(X48&lt;=0.6,"Media",IF(X48&lt;=0.8,"Alta","Muy Alta"))))),"")</f>
        <v/>
      </c>
      <c r="Z48" s="130" t="str">
        <f>+X48</f>
        <v/>
      </c>
      <c r="AA48" s="129" t="str">
        <f>IFERROR(IF(AB48="","",IF(AB48&lt;=0.2,"Leve",IF(AB48&lt;=0.4,"Menor",IF(AB48&lt;=0.6,"Moderado",IF(AB48&lt;=0.8,"Mayor","Catastrófico"))))),"")</f>
        <v/>
      </c>
      <c r="AB48" s="130" t="str">
        <f>IFERROR(IF(Q48="Impacto",(M48-(+M48*T48)),IF(Q48="Probabilidad",M48,"")),"")</f>
        <v/>
      </c>
      <c r="AC48" s="131" t="str">
        <f>IFERROR(IF(OR(AND(Y48="Muy Baja",AA48="Leve"),AND(Y48="Muy Baja",AA48="Menor"),AND(Y48="Baja",AA48="Leve")),"Bajo",IF(OR(AND(Y48="Muy baja",AA48="Moderado"),AND(Y48="Baja",AA48="Menor"),AND(Y48="Baja",AA48="Moderado"),AND(Y48="Media",AA48="Leve"),AND(Y48="Media",AA48="Menor"),AND(Y48="Media",AA48="Moderado"),AND(Y48="Alta",AA48="Leve"),AND(Y48="Alta",AA48="Menor")),"Moderado",IF(OR(AND(Y48="Muy Baja",AA48="Mayor"),AND(Y48="Baja",AA48="Mayor"),AND(Y48="Media",AA48="Mayor"),AND(Y48="Alta",AA48="Moderado"),AND(Y48="Alta",AA48="Mayor"),AND(Y48="Muy Alta",AA48="Leve"),AND(Y48="Muy Alta",AA48="Menor"),AND(Y48="Muy Alta",AA48="Moderado"),AND(Y48="Muy Alta",AA48="Mayor")),"Alto",IF(OR(AND(Y48="Muy Baja",AA48="Catastrófico"),AND(Y48="Baja",AA48="Catastrófico"),AND(Y48="Media",AA48="Catastrófico"),AND(Y48="Alta",AA48="Catastrófico"),AND(Y48="Muy Alta",AA48="Catastrófico")),"Extremo","")))),"")</f>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ca="1">IF(NOT(ISERROR(MATCH(J49,_xlfn.ANCHORARRAY(E60),0))),I62&amp;"Por favor no seleccionar los criterios de impacto",J49)</f>
        <v>0</v>
      </c>
      <c r="L49" s="204"/>
      <c r="M49" s="207"/>
      <c r="N49" s="198"/>
      <c r="O49" s="123">
        <v>2</v>
      </c>
      <c r="P49" s="124"/>
      <c r="Q49" s="125" t="str">
        <f>IF(OR(R49="Preventivo",R49="Detectivo"),"Probabilidad",IF(R49="Correctivo","Impacto",""))</f>
        <v/>
      </c>
      <c r="R49" s="126"/>
      <c r="S49" s="126"/>
      <c r="T49" s="127" t="str">
        <f t="shared" ref="T49:T53" si="52">IF(AND(R49="Preventivo",S49="Automático"),"50%",IF(AND(R49="Preventivo",S49="Manual"),"40%",IF(AND(R49="Detectivo",S49="Automático"),"40%",IF(AND(R49="Detectivo",S49="Manual"),"30%",IF(AND(R49="Correctivo",S49="Automático"),"35%",IF(AND(R49="Correctivo",S49="Manual"),"25%",""))))))</f>
        <v/>
      </c>
      <c r="U49" s="126"/>
      <c r="V49" s="126"/>
      <c r="W49" s="126"/>
      <c r="X49" s="128" t="str">
        <f>IFERROR(IF(AND(Q48="Probabilidad",Q49="Probabilidad"),(Z48-(+Z48*T49)),IF(Q49="Probabilidad",(I48-(+I48*T49)),IF(Q49="Impacto",Z48,""))),"")</f>
        <v/>
      </c>
      <c r="Y49" s="129" t="str">
        <f t="shared" si="1"/>
        <v/>
      </c>
      <c r="Z49" s="130" t="str">
        <f t="shared" ref="Z49:Z53" si="53">+X49</f>
        <v/>
      </c>
      <c r="AA49" s="129" t="str">
        <f t="shared" si="3"/>
        <v/>
      </c>
      <c r="AB49" s="130" t="str">
        <f>IFERROR(IF(AND(Q48="Impacto",Q49="Impacto"),(AB42-(+AB42*T49)),IF(Q49="Impacto",($M$48-(+$M$48*T49)),IF(Q49="Probabilidad",AB42,""))),"")</f>
        <v/>
      </c>
      <c r="AC49" s="131" t="str">
        <f t="shared" ref="AC49:AC50" si="54">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ca="1">IF(NOT(ISERROR(MATCH(J50,_xlfn.ANCHORARRAY(E61),0))),I63&amp;"Por favor no seleccionar los criterios de impacto",J50)</f>
        <v>0</v>
      </c>
      <c r="L50" s="204"/>
      <c r="M50" s="207"/>
      <c r="N50" s="198"/>
      <c r="O50" s="123">
        <v>3</v>
      </c>
      <c r="P50" s="136"/>
      <c r="Q50" s="125" t="str">
        <f>IF(OR(R50="Preventivo",R50="Detectivo"),"Probabilidad",IF(R50="Correctivo","Impacto",""))</f>
        <v/>
      </c>
      <c r="R50" s="126"/>
      <c r="S50" s="126"/>
      <c r="T50" s="127" t="str">
        <f t="shared" si="52"/>
        <v/>
      </c>
      <c r="U50" s="126"/>
      <c r="V50" s="126"/>
      <c r="W50" s="126"/>
      <c r="X50" s="128" t="str">
        <f>IFERROR(IF(AND(Q49="Probabilidad",Q50="Probabilidad"),(Z49-(+Z49*T50)),IF(AND(Q49="Impacto",Q50="Probabilidad"),(Z48-(+Z48*T50)),IF(Q50="Impacto",Z49,""))),"")</f>
        <v/>
      </c>
      <c r="Y50" s="129" t="str">
        <f t="shared" si="1"/>
        <v/>
      </c>
      <c r="Z50" s="130" t="str">
        <f t="shared" si="53"/>
        <v/>
      </c>
      <c r="AA50" s="129" t="str">
        <f t="shared" si="3"/>
        <v/>
      </c>
      <c r="AB50" s="130" t="str">
        <f>IFERROR(IF(AND(Q49="Impacto",Q50="Impacto"),(AB49-(+AB49*T50)),IF(AND(Q49="Probabilidad",Q50="Impacto"),(AB48-(+AB48*T50)),IF(Q50="Probabilidad",AB49,""))),"")</f>
        <v/>
      </c>
      <c r="AC50" s="131" t="str">
        <f t="shared" si="54"/>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3"/>
      <c r="B51" s="192"/>
      <c r="C51" s="192"/>
      <c r="D51" s="192"/>
      <c r="E51" s="216"/>
      <c r="F51" s="192"/>
      <c r="G51" s="195"/>
      <c r="H51" s="204"/>
      <c r="I51" s="207"/>
      <c r="J51" s="210"/>
      <c r="K51" s="207">
        <f ca="1">IF(NOT(ISERROR(MATCH(J51,_xlfn.ANCHORARRAY(E62),0))),I64&amp;"Por favor no seleccionar los criterios de impacto",J51)</f>
        <v>0</v>
      </c>
      <c r="L51" s="204"/>
      <c r="M51" s="207"/>
      <c r="N51" s="198"/>
      <c r="O51" s="123">
        <v>4</v>
      </c>
      <c r="P51" s="124"/>
      <c r="Q51" s="125" t="str">
        <f t="shared" ref="Q51:Q53" si="55">IF(OR(R51="Preventivo",R51="Detectivo"),"Probabilidad",IF(R51="Correctivo","Impacto",""))</f>
        <v/>
      </c>
      <c r="R51" s="126"/>
      <c r="S51" s="126"/>
      <c r="T51" s="127" t="str">
        <f t="shared" si="52"/>
        <v/>
      </c>
      <c r="U51" s="126"/>
      <c r="V51" s="126"/>
      <c r="W51" s="126"/>
      <c r="X51" s="128" t="str">
        <f t="shared" ref="X51:X53" si="56">IFERROR(IF(AND(Q50="Probabilidad",Q51="Probabilidad"),(Z50-(+Z50*T51)),IF(AND(Q50="Impacto",Q51="Probabilidad"),(Z49-(+Z49*T51)),IF(Q51="Impacto",Z50,""))),"")</f>
        <v/>
      </c>
      <c r="Y51" s="129" t="str">
        <f t="shared" si="1"/>
        <v/>
      </c>
      <c r="Z51" s="130" t="str">
        <f t="shared" si="53"/>
        <v/>
      </c>
      <c r="AA51" s="129" t="str">
        <f t="shared" si="3"/>
        <v/>
      </c>
      <c r="AB51" s="130" t="str">
        <f t="shared" ref="AB51:AB53" si="57">IFERROR(IF(AND(Q50="Impacto",Q51="Impacto"),(AB50-(+AB50*T51)),IF(AND(Q50="Probabilidad",Q51="Impacto"),(AB49-(+AB49*T51)),IF(Q51="Probabilidad",AB50,""))),"")</f>
        <v/>
      </c>
      <c r="AC51" s="131" t="str">
        <f>IFERROR(IF(OR(AND(Y51="Muy Baja",AA51="Leve"),AND(Y51="Muy Baja",AA51="Menor"),AND(Y51="Baja",AA51="Leve")),"Bajo",IF(OR(AND(Y51="Muy baja",AA51="Moderado"),AND(Y51="Baja",AA51="Menor"),AND(Y51="Baja",AA51="Moderado"),AND(Y51="Media",AA51="Leve"),AND(Y51="Media",AA51="Menor"),AND(Y51="Media",AA51="Moderado"),AND(Y51="Alta",AA51="Leve"),AND(Y51="Alta",AA51="Menor")),"Moderado",IF(OR(AND(Y51="Muy Baja",AA51="Mayor"),AND(Y51="Baja",AA51="Mayor"),AND(Y51="Media",AA51="Mayor"),AND(Y51="Alta",AA51="Moderado"),AND(Y51="Alta",AA51="Mayor"),AND(Y51="Muy Alta",AA51="Leve"),AND(Y51="Muy Alta",AA51="Menor"),AND(Y51="Muy Alta",AA51="Moderado"),AND(Y51="Muy Alta",AA51="Mayor")),"Alto",IF(OR(AND(Y51="Muy Baja",AA51="Catastrófico"),AND(Y51="Baja",AA51="Catastrófico"),AND(Y51="Media",AA51="Catastrófico"),AND(Y51="Alta",AA51="Catastrófico"),AND(Y51="Muy Alta",AA51="Catastrófico")),"Extremo","")))),"")</f>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3"/>
      <c r="B52" s="192"/>
      <c r="C52" s="192"/>
      <c r="D52" s="192"/>
      <c r="E52" s="216"/>
      <c r="F52" s="192"/>
      <c r="G52" s="195"/>
      <c r="H52" s="204"/>
      <c r="I52" s="207"/>
      <c r="J52" s="210"/>
      <c r="K52" s="207">
        <f ca="1">IF(NOT(ISERROR(MATCH(J52,_xlfn.ANCHORARRAY(E63),0))),I65&amp;"Por favor no seleccionar los criterios de impacto",J52)</f>
        <v>0</v>
      </c>
      <c r="L52" s="204"/>
      <c r="M52" s="207"/>
      <c r="N52" s="198"/>
      <c r="O52" s="123">
        <v>5</v>
      </c>
      <c r="P52" s="124"/>
      <c r="Q52" s="125" t="str">
        <f t="shared" si="55"/>
        <v/>
      </c>
      <c r="R52" s="126"/>
      <c r="S52" s="126"/>
      <c r="T52" s="127" t="str">
        <f t="shared" si="52"/>
        <v/>
      </c>
      <c r="U52" s="126"/>
      <c r="V52" s="126"/>
      <c r="W52" s="126"/>
      <c r="X52" s="128" t="str">
        <f t="shared" si="56"/>
        <v/>
      </c>
      <c r="Y52" s="129" t="str">
        <f t="shared" si="1"/>
        <v/>
      </c>
      <c r="Z52" s="130" t="str">
        <f t="shared" si="53"/>
        <v/>
      </c>
      <c r="AA52" s="129" t="str">
        <f t="shared" si="3"/>
        <v/>
      </c>
      <c r="AB52" s="130" t="str">
        <f t="shared" si="57"/>
        <v/>
      </c>
      <c r="AC52" s="131" t="str">
        <f t="shared" ref="AC52:AC53" si="58">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4"/>
      <c r="B53" s="193"/>
      <c r="C53" s="193"/>
      <c r="D53" s="193"/>
      <c r="E53" s="217"/>
      <c r="F53" s="193"/>
      <c r="G53" s="196"/>
      <c r="H53" s="205"/>
      <c r="I53" s="208"/>
      <c r="J53" s="211"/>
      <c r="K53" s="208">
        <f ca="1">IF(NOT(ISERROR(MATCH(J53,_xlfn.ANCHORARRAY(E64),0))),I66&amp;"Por favor no seleccionar los criterios de impacto",J53)</f>
        <v>0</v>
      </c>
      <c r="L53" s="205"/>
      <c r="M53" s="208"/>
      <c r="N53" s="199"/>
      <c r="O53" s="123">
        <v>6</v>
      </c>
      <c r="P53" s="124"/>
      <c r="Q53" s="125" t="str">
        <f t="shared" si="55"/>
        <v/>
      </c>
      <c r="R53" s="126"/>
      <c r="S53" s="126"/>
      <c r="T53" s="127" t="str">
        <f t="shared" si="52"/>
        <v/>
      </c>
      <c r="U53" s="126"/>
      <c r="V53" s="126"/>
      <c r="W53" s="126"/>
      <c r="X53" s="128" t="str">
        <f t="shared" si="56"/>
        <v/>
      </c>
      <c r="Y53" s="129" t="str">
        <f t="shared" si="1"/>
        <v/>
      </c>
      <c r="Z53" s="130" t="str">
        <f t="shared" si="53"/>
        <v/>
      </c>
      <c r="AA53" s="129" t="str">
        <f t="shared" si="3"/>
        <v/>
      </c>
      <c r="AB53" s="130" t="str">
        <f t="shared" si="57"/>
        <v/>
      </c>
      <c r="AC53" s="131" t="str">
        <f t="shared" si="58"/>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2">
        <v>9</v>
      </c>
      <c r="B54" s="191"/>
      <c r="C54" s="191"/>
      <c r="D54" s="191"/>
      <c r="E54" s="215"/>
      <c r="F54" s="191"/>
      <c r="G54" s="194"/>
      <c r="H54" s="203" t="str">
        <f>IF(G54&lt;=0,"",IF(G54&lt;=2,"Muy Baja",IF(G54&lt;=24,"Baja",IF(G54&lt;=500,"Media",IF(G54&lt;=5000,"Alta","Muy Alta")))))</f>
        <v/>
      </c>
      <c r="I54" s="206" t="str">
        <f>IF(H54="","",IF(H54="Muy Baja",0.2,IF(H54="Baja",0.4,IF(H54="Media",0.6,IF(H54="Alta",0.8,IF(H54="Muy Alta",1,))))))</f>
        <v/>
      </c>
      <c r="J54" s="209"/>
      <c r="K54" s="206">
        <f ca="1">IF(NOT(ISERROR(MATCH(J54,'Tabla Impacto'!$B$221:$B$223,0))),'Tabla Impacto'!$F$223&amp;"Por favor no seleccionar los criterios de impacto(Afectación Económica o presupuestal y Pérdida Reputacional)",J54)</f>
        <v>0</v>
      </c>
      <c r="L54" s="203" t="str">
        <f ca="1">IF(OR(K54='Tabla Impacto'!$C$11,K54='Tabla Impacto'!$D$11),"Leve",IF(OR(K54='Tabla Impacto'!$C$12,K54='Tabla Impacto'!$D$12),"Menor",IF(OR(K54='Tabla Impacto'!$C$13,K54='Tabla Impacto'!$D$13),"Moderado",IF(OR(K54='Tabla Impacto'!$C$14,K54='Tabla Impacto'!$D$14),"Mayor",IF(OR(K54='Tabla Impacto'!$C$15,K54='Tabla Impacto'!$D$15),"Catastrófico","")))))</f>
        <v/>
      </c>
      <c r="M54" s="206" t="str">
        <f ca="1">IF(L54="","",IF(L54="Leve",0.2,IF(L54="Menor",0.4,IF(L54="Moderado",0.6,IF(L54="Mayor",0.8,IF(L54="Catastrófico",1,))))))</f>
        <v/>
      </c>
      <c r="N54" s="197" t="str">
        <f ca="1">IF(OR(AND(H54="Muy Baja",L54="Leve"),AND(H54="Muy Baja",L54="Menor"),AND(H54="Baja",L54="Leve")),"Bajo",IF(OR(AND(H54="Muy baja",L54="Moderado"),AND(H54="Baja",L54="Menor"),AND(H54="Baja",L54="Moderado"),AND(H54="Media",L54="Leve"),AND(H54="Media",L54="Menor"),AND(H54="Media",L54="Moderado"),AND(H54="Alta",L54="Leve"),AND(H54="Alta",L54="Menor")),"Moderado",IF(OR(AND(H54="Muy Baja",L54="Mayor"),AND(H54="Baja",L54="Mayor"),AND(H54="Media",L54="Mayor"),AND(H54="Alta",L54="Moderado"),AND(H54="Alta",L54="Mayor"),AND(H54="Muy Alta",L54="Leve"),AND(H54="Muy Alta",L54="Menor"),AND(H54="Muy Alta",L54="Moderado"),AND(H54="Muy Alta",L54="Mayor")),"Alto",IF(OR(AND(H54="Muy Baja",L54="Catastrófico"),AND(H54="Baja",L54="Catastrófico"),AND(H54="Media",L54="Catastrófico"),AND(H54="Alta",L54="Catastrófico"),AND(H54="Muy Alta",L54="Catastrófico")),"Extremo",""))))</f>
        <v/>
      </c>
      <c r="O54" s="123">
        <v>1</v>
      </c>
      <c r="P54" s="124"/>
      <c r="Q54" s="125" t="str">
        <f>IF(OR(R54="Preventivo",R54="Detectivo"),"Probabilidad",IF(R54="Correctivo","Impacto",""))</f>
        <v/>
      </c>
      <c r="R54" s="126"/>
      <c r="S54" s="126"/>
      <c r="T54" s="127" t="str">
        <f>IF(AND(R54="Preventivo",S54="Automático"),"50%",IF(AND(R54="Preventivo",S54="Manual"),"40%",IF(AND(R54="Detectivo",S54="Automático"),"40%",IF(AND(R54="Detectivo",S54="Manual"),"30%",IF(AND(R54="Correctivo",S54="Automático"),"35%",IF(AND(R54="Correctivo",S54="Manual"),"25%",""))))))</f>
        <v/>
      </c>
      <c r="U54" s="126"/>
      <c r="V54" s="126"/>
      <c r="W54" s="126"/>
      <c r="X54" s="128" t="str">
        <f>IFERROR(IF(Q54="Probabilidad",(I54-(+I54*T54)),IF(Q54="Impacto",I54,"")),"")</f>
        <v/>
      </c>
      <c r="Y54" s="129" t="str">
        <f>IFERROR(IF(X54="","",IF(X54&lt;=0.2,"Muy Baja",IF(X54&lt;=0.4,"Baja",IF(X54&lt;=0.6,"Media",IF(X54&lt;=0.8,"Alta","Muy Alta"))))),"")</f>
        <v/>
      </c>
      <c r="Z54" s="130" t="str">
        <f>+X54</f>
        <v/>
      </c>
      <c r="AA54" s="129" t="str">
        <f>IFERROR(IF(AB54="","",IF(AB54&lt;=0.2,"Leve",IF(AB54&lt;=0.4,"Menor",IF(AB54&lt;=0.6,"Moderado",IF(AB54&lt;=0.8,"Mayor","Catastrófico"))))),"")</f>
        <v/>
      </c>
      <c r="AB54" s="130" t="str">
        <f>IFERROR(IF(Q54="Impacto",(M54-(+M54*T54)),IF(Q54="Probabilidad",M54,"")),"")</f>
        <v/>
      </c>
      <c r="AC54" s="131" t="str">
        <f>IFERROR(IF(OR(AND(Y54="Muy Baja",AA54="Leve"),AND(Y54="Muy Baja",AA54="Menor"),AND(Y54="Baja",AA54="Leve")),"Bajo",IF(OR(AND(Y54="Muy baja",AA54="Moderado"),AND(Y54="Baja",AA54="Menor"),AND(Y54="Baja",AA54="Moderado"),AND(Y54="Media",AA54="Leve"),AND(Y54="Media",AA54="Menor"),AND(Y54="Media",AA54="Moderado"),AND(Y54="Alta",AA54="Leve"),AND(Y54="Alta",AA54="Menor")),"Moderado",IF(OR(AND(Y54="Muy Baja",AA54="Mayor"),AND(Y54="Baja",AA54="Mayor"),AND(Y54="Media",AA54="Mayor"),AND(Y54="Alta",AA54="Moderado"),AND(Y54="Alta",AA54="Mayor"),AND(Y54="Muy Alta",AA54="Leve"),AND(Y54="Muy Alta",AA54="Menor"),AND(Y54="Muy Alta",AA54="Moderado"),AND(Y54="Muy Alta",AA54="Mayor")),"Alto",IF(OR(AND(Y54="Muy Baja",AA54="Catastrófico"),AND(Y54="Baja",AA54="Catastrófico"),AND(Y54="Media",AA54="Catastrófico"),AND(Y54="Alta",AA54="Catastrófico"),AND(Y54="Muy Alta",AA54="Catastrófico")),"Extremo","")))),"")</f>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2</v>
      </c>
      <c r="P55" s="124"/>
      <c r="Q55" s="125" t="str">
        <f>IF(OR(R55="Preventivo",R55="Detectivo"),"Probabilidad",IF(R55="Correctivo","Impacto",""))</f>
        <v/>
      </c>
      <c r="R55" s="126"/>
      <c r="S55" s="126"/>
      <c r="T55" s="127" t="str">
        <f t="shared" ref="T55:T59" si="59">IF(AND(R55="Preventivo",S55="Automático"),"50%",IF(AND(R55="Preventivo",S55="Manual"),"40%",IF(AND(R55="Detectivo",S55="Automático"),"40%",IF(AND(R55="Detectivo",S55="Manual"),"30%",IF(AND(R55="Correctivo",S55="Automático"),"35%",IF(AND(R55="Correctivo",S55="Manual"),"25%",""))))))</f>
        <v/>
      </c>
      <c r="U55" s="126"/>
      <c r="V55" s="126"/>
      <c r="W55" s="126"/>
      <c r="X55" s="128" t="str">
        <f>IFERROR(IF(AND(Q54="Probabilidad",Q55="Probabilidad"),(Z54-(+Z54*T55)),IF(Q55="Probabilidad",(I54-(+I54*T55)),IF(Q55="Impacto",Z54,""))),"")</f>
        <v/>
      </c>
      <c r="Y55" s="129" t="str">
        <f t="shared" si="1"/>
        <v/>
      </c>
      <c r="Z55" s="130" t="str">
        <f t="shared" ref="Z55:Z59" si="60">+X55</f>
        <v/>
      </c>
      <c r="AA55" s="129" t="str">
        <f t="shared" si="3"/>
        <v/>
      </c>
      <c r="AB55" s="130" t="str">
        <f>IFERROR(IF(AND(Q54="Impacto",Q55="Impacto"),(AB48-(+AB48*T55)),IF(Q55="Impacto",($M$54-(+$M$54*T55)),IF(Q55="Probabilidad",AB48,""))),"")</f>
        <v/>
      </c>
      <c r="AC55" s="131" t="str">
        <f t="shared" ref="AC55:AC56" si="61">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3</v>
      </c>
      <c r="P56" s="136"/>
      <c r="Q56" s="125" t="str">
        <f>IF(OR(R56="Preventivo",R56="Detectivo"),"Probabilidad",IF(R56="Correctivo","Impacto",""))</f>
        <v/>
      </c>
      <c r="R56" s="126"/>
      <c r="S56" s="126"/>
      <c r="T56" s="127" t="str">
        <f t="shared" si="59"/>
        <v/>
      </c>
      <c r="U56" s="126"/>
      <c r="V56" s="126"/>
      <c r="W56" s="126"/>
      <c r="X56" s="128" t="str">
        <f>IFERROR(IF(AND(Q55="Probabilidad",Q56="Probabilidad"),(Z55-(+Z55*T56)),IF(AND(Q55="Impacto",Q56="Probabilidad"),(Z54-(+Z54*T56)),IF(Q56="Impacto",Z55,""))),"")</f>
        <v/>
      </c>
      <c r="Y56" s="129" t="str">
        <f t="shared" si="1"/>
        <v/>
      </c>
      <c r="Z56" s="130" t="str">
        <f t="shared" si="60"/>
        <v/>
      </c>
      <c r="AA56" s="129" t="str">
        <f t="shared" si="3"/>
        <v/>
      </c>
      <c r="AB56" s="130" t="str">
        <f>IFERROR(IF(AND(Q55="Impacto",Q56="Impacto"),(AB55-(+AB55*T56)),IF(AND(Q55="Probabilidad",Q56="Impacto"),(AB54-(+AB54*T56)),IF(Q56="Probabilidad",AB55,""))),"")</f>
        <v/>
      </c>
      <c r="AC56" s="131" t="str">
        <f t="shared" si="61"/>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3"/>
      <c r="B57" s="192"/>
      <c r="C57" s="192"/>
      <c r="D57" s="192"/>
      <c r="E57" s="216"/>
      <c r="F57" s="192"/>
      <c r="G57" s="195"/>
      <c r="H57" s="204"/>
      <c r="I57" s="207"/>
      <c r="J57" s="210"/>
      <c r="K57" s="207">
        <f ca="1">IF(NOT(ISERROR(MATCH(J57,_xlfn.ANCHORARRAY(E68),0))),I70&amp;"Por favor no seleccionar los criterios de impacto",J57)</f>
        <v>0</v>
      </c>
      <c r="L57" s="204"/>
      <c r="M57" s="207"/>
      <c r="N57" s="198"/>
      <c r="O57" s="123">
        <v>4</v>
      </c>
      <c r="P57" s="124"/>
      <c r="Q57" s="125" t="str">
        <f t="shared" ref="Q57:Q59" si="62">IF(OR(R57="Preventivo",R57="Detectivo"),"Probabilidad",IF(R57="Correctivo","Impacto",""))</f>
        <v/>
      </c>
      <c r="R57" s="126"/>
      <c r="S57" s="126"/>
      <c r="T57" s="127" t="str">
        <f t="shared" si="59"/>
        <v/>
      </c>
      <c r="U57" s="126"/>
      <c r="V57" s="126"/>
      <c r="W57" s="126"/>
      <c r="X57" s="128" t="str">
        <f t="shared" ref="X57:X59" si="63">IFERROR(IF(AND(Q56="Probabilidad",Q57="Probabilidad"),(Z56-(+Z56*T57)),IF(AND(Q56="Impacto",Q57="Probabilidad"),(Z55-(+Z55*T57)),IF(Q57="Impacto",Z56,""))),"")</f>
        <v/>
      </c>
      <c r="Y57" s="129" t="str">
        <f t="shared" si="1"/>
        <v/>
      </c>
      <c r="Z57" s="130" t="str">
        <f t="shared" si="60"/>
        <v/>
      </c>
      <c r="AA57" s="129" t="str">
        <f t="shared" si="3"/>
        <v/>
      </c>
      <c r="AB57" s="130" t="str">
        <f t="shared" ref="AB57:AB59" si="64">IFERROR(IF(AND(Q56="Impacto",Q57="Impacto"),(AB56-(+AB56*T57)),IF(AND(Q56="Probabilidad",Q57="Impacto"),(AB55-(+AB55*T57)),IF(Q57="Probabilidad",AB56,""))),"")</f>
        <v/>
      </c>
      <c r="AC57" s="131" t="str">
        <f>IFERROR(IF(OR(AND(Y57="Muy Baja",AA57="Leve"),AND(Y57="Muy Baja",AA57="Menor"),AND(Y57="Baja",AA57="Leve")),"Bajo",IF(OR(AND(Y57="Muy baja",AA57="Moderado"),AND(Y57="Baja",AA57="Menor"),AND(Y57="Baja",AA57="Moderado"),AND(Y57="Media",AA57="Leve"),AND(Y57="Media",AA57="Menor"),AND(Y57="Media",AA57="Moderado"),AND(Y57="Alta",AA57="Leve"),AND(Y57="Alta",AA57="Menor")),"Moderado",IF(OR(AND(Y57="Muy Baja",AA57="Mayor"),AND(Y57="Baja",AA57="Mayor"),AND(Y57="Media",AA57="Mayor"),AND(Y57="Alta",AA57="Moderado"),AND(Y57="Alta",AA57="Mayor"),AND(Y57="Muy Alta",AA57="Leve"),AND(Y57="Muy Alta",AA57="Menor"),AND(Y57="Muy Alta",AA57="Moderado"),AND(Y57="Muy Alta",AA57="Mayor")),"Alto",IF(OR(AND(Y57="Muy Baja",AA57="Catastrófico"),AND(Y57="Baja",AA57="Catastrófico"),AND(Y57="Media",AA57="Catastrófico"),AND(Y57="Alta",AA57="Catastrófico"),AND(Y57="Muy Alta",AA57="Catastrófico")),"Extremo","")))),"")</f>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3"/>
      <c r="B58" s="192"/>
      <c r="C58" s="192"/>
      <c r="D58" s="192"/>
      <c r="E58" s="216"/>
      <c r="F58" s="192"/>
      <c r="G58" s="195"/>
      <c r="H58" s="204"/>
      <c r="I58" s="207"/>
      <c r="J58" s="210"/>
      <c r="K58" s="207">
        <f ca="1">IF(NOT(ISERROR(MATCH(J58,_xlfn.ANCHORARRAY(E69),0))),I71&amp;"Por favor no seleccionar los criterios de impacto",J58)</f>
        <v>0</v>
      </c>
      <c r="L58" s="204"/>
      <c r="M58" s="207"/>
      <c r="N58" s="198"/>
      <c r="O58" s="123">
        <v>5</v>
      </c>
      <c r="P58" s="124"/>
      <c r="Q58" s="125" t="str">
        <f t="shared" si="62"/>
        <v/>
      </c>
      <c r="R58" s="126"/>
      <c r="S58" s="126"/>
      <c r="T58" s="127" t="str">
        <f t="shared" si="59"/>
        <v/>
      </c>
      <c r="U58" s="126"/>
      <c r="V58" s="126"/>
      <c r="W58" s="126"/>
      <c r="X58" s="128" t="str">
        <f t="shared" si="63"/>
        <v/>
      </c>
      <c r="Y58" s="129" t="str">
        <f t="shared" si="1"/>
        <v/>
      </c>
      <c r="Z58" s="130" t="str">
        <f t="shared" si="60"/>
        <v/>
      </c>
      <c r="AA58" s="129" t="str">
        <f t="shared" si="3"/>
        <v/>
      </c>
      <c r="AB58" s="130" t="str">
        <f t="shared" si="64"/>
        <v/>
      </c>
      <c r="AC58" s="131" t="str">
        <f t="shared" ref="AC58:AC59" si="65">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4"/>
      <c r="B59" s="193"/>
      <c r="C59" s="193"/>
      <c r="D59" s="193"/>
      <c r="E59" s="217"/>
      <c r="F59" s="193"/>
      <c r="G59" s="196"/>
      <c r="H59" s="205"/>
      <c r="I59" s="208"/>
      <c r="J59" s="211"/>
      <c r="K59" s="208">
        <f ca="1">IF(NOT(ISERROR(MATCH(J59,_xlfn.ANCHORARRAY(E70),0))),I72&amp;"Por favor no seleccionar los criterios de impacto",J59)</f>
        <v>0</v>
      </c>
      <c r="L59" s="205"/>
      <c r="M59" s="208"/>
      <c r="N59" s="199"/>
      <c r="O59" s="123">
        <v>6</v>
      </c>
      <c r="P59" s="124"/>
      <c r="Q59" s="125" t="str">
        <f t="shared" si="62"/>
        <v/>
      </c>
      <c r="R59" s="126"/>
      <c r="S59" s="126"/>
      <c r="T59" s="127" t="str">
        <f t="shared" si="59"/>
        <v/>
      </c>
      <c r="U59" s="126"/>
      <c r="V59" s="126"/>
      <c r="W59" s="126"/>
      <c r="X59" s="128" t="str">
        <f t="shared" si="63"/>
        <v/>
      </c>
      <c r="Y59" s="129" t="str">
        <f t="shared" si="1"/>
        <v/>
      </c>
      <c r="Z59" s="130" t="str">
        <f t="shared" si="60"/>
        <v/>
      </c>
      <c r="AA59" s="129" t="str">
        <f t="shared" si="3"/>
        <v/>
      </c>
      <c r="AB59" s="130" t="str">
        <f t="shared" si="64"/>
        <v/>
      </c>
      <c r="AC59" s="131" t="str">
        <f t="shared" si="65"/>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2">
        <v>10</v>
      </c>
      <c r="B60" s="191"/>
      <c r="C60" s="191"/>
      <c r="D60" s="191"/>
      <c r="E60" s="215"/>
      <c r="F60" s="191"/>
      <c r="G60" s="194"/>
      <c r="H60" s="203" t="str">
        <f>IF(G60&lt;=0,"",IF(G60&lt;=2,"Muy Baja",IF(G60&lt;=24,"Baja",IF(G60&lt;=500,"Media",IF(G60&lt;=5000,"Alta","Muy Alta")))))</f>
        <v/>
      </c>
      <c r="I60" s="206" t="str">
        <f>IF(H60="","",IF(H60="Muy Baja",0.2,IF(H60="Baja",0.4,IF(H60="Media",0.6,IF(H60="Alta",0.8,IF(H60="Muy Alta",1,))))))</f>
        <v/>
      </c>
      <c r="J60" s="209"/>
      <c r="K60" s="206">
        <f ca="1">IF(NOT(ISERROR(MATCH(J60,'Tabla Impacto'!$B$221:$B$223,0))),'Tabla Impacto'!$F$223&amp;"Por favor no seleccionar los criterios de impacto(Afectación Económica o presupuestal y Pérdida Reputacional)",J60)</f>
        <v>0</v>
      </c>
      <c r="L60" s="203" t="str">
        <f ca="1">IF(OR(K60='Tabla Impacto'!$C$11,K60='Tabla Impacto'!$D$11),"Leve",IF(OR(K60='Tabla Impacto'!$C$12,K60='Tabla Impacto'!$D$12),"Menor",IF(OR(K60='Tabla Impacto'!$C$13,K60='Tabla Impacto'!$D$13),"Moderado",IF(OR(K60='Tabla Impacto'!$C$14,K60='Tabla Impacto'!$D$14),"Mayor",IF(OR(K60='Tabla Impacto'!$C$15,K60='Tabla Impacto'!$D$15),"Catastrófico","")))))</f>
        <v/>
      </c>
      <c r="M60" s="206" t="str">
        <f ca="1">IF(L60="","",IF(L60="Leve",0.2,IF(L60="Menor",0.4,IF(L60="Moderado",0.6,IF(L60="Mayor",0.8,IF(L60="Catastrófico",1,))))))</f>
        <v/>
      </c>
      <c r="N60" s="197" t="str">
        <f ca="1">IF(OR(AND(H60="Muy Baja",L60="Leve"),AND(H60="Muy Baja",L60="Menor"),AND(H60="Baja",L60="Leve")),"Bajo",IF(OR(AND(H60="Muy baja",L60="Moderado"),AND(H60="Baja",L60="Menor"),AND(H60="Baja",L60="Moderado"),AND(H60="Media",L60="Leve"),AND(H60="Media",L60="Menor"),AND(H60="Media",L60="Moderado"),AND(H60="Alta",L60="Leve"),AND(H60="Alta",L60="Menor")),"Moderado",IF(OR(AND(H60="Muy Baja",L60="Mayor"),AND(H60="Baja",L60="Mayor"),AND(H60="Media",L60="Mayor"),AND(H60="Alta",L60="Moderado"),AND(H60="Alta",L60="Mayor"),AND(H60="Muy Alta",L60="Leve"),AND(H60="Muy Alta",L60="Menor"),AND(H60="Muy Alta",L60="Moderado"),AND(H60="Muy Alta",L60="Mayor")),"Alto",IF(OR(AND(H60="Muy Baja",L60="Catastrófico"),AND(H60="Baja",L60="Catastrófico"),AND(H60="Media",L60="Catastrófico"),AND(H60="Alta",L60="Catastrófico"),AND(H60="Muy Alta",L60="Catastrófico")),"Extremo",""))))</f>
        <v/>
      </c>
      <c r="O60" s="123">
        <v>1</v>
      </c>
      <c r="P60" s="124"/>
      <c r="Q60" s="125" t="str">
        <f>IF(OR(R60="Preventivo",R60="Detectivo"),"Probabilidad",IF(R60="Correctivo","Impacto",""))</f>
        <v/>
      </c>
      <c r="R60" s="126"/>
      <c r="S60" s="126"/>
      <c r="T60" s="127" t="str">
        <f>IF(AND(R60="Preventivo",S60="Automático"),"50%",IF(AND(R60="Preventivo",S60="Manual"),"40%",IF(AND(R60="Detectivo",S60="Automático"),"40%",IF(AND(R60="Detectivo",S60="Manual"),"30%",IF(AND(R60="Correctivo",S60="Automático"),"35%",IF(AND(R60="Correctivo",S60="Manual"),"25%",""))))))</f>
        <v/>
      </c>
      <c r="U60" s="126"/>
      <c r="V60" s="126"/>
      <c r="W60" s="126"/>
      <c r="X60" s="128" t="str">
        <f>IFERROR(IF(Q60="Probabilidad",(I60-(+I60*T60)),IF(Q60="Impacto",I60,"")),"")</f>
        <v/>
      </c>
      <c r="Y60" s="129" t="str">
        <f>IFERROR(IF(X60="","",IF(X60&lt;=0.2,"Muy Baja",IF(X60&lt;=0.4,"Baja",IF(X60&lt;=0.6,"Media",IF(X60&lt;=0.8,"Alta","Muy Alta"))))),"")</f>
        <v/>
      </c>
      <c r="Z60" s="130" t="str">
        <f>+X60</f>
        <v/>
      </c>
      <c r="AA60" s="129" t="str">
        <f>IFERROR(IF(AB60="","",IF(AB60&lt;=0.2,"Leve",IF(AB60&lt;=0.4,"Menor",IF(AB60&lt;=0.6,"Moderado",IF(AB60&lt;=0.8,"Mayor","Catastrófico"))))),"")</f>
        <v/>
      </c>
      <c r="AB60" s="130" t="str">
        <f>IFERROR(IF(Q60="Impacto",(M60-(+M60*T60)),IF(Q60="Probabilidad",M60,"")),"")</f>
        <v/>
      </c>
      <c r="AC60" s="131" t="str">
        <f>IFERROR(IF(OR(AND(Y60="Muy Baja",AA60="Leve"),AND(Y60="Muy Baja",AA60="Menor"),AND(Y60="Baja",AA60="Leve")),"Bajo",IF(OR(AND(Y60="Muy baja",AA60="Moderado"),AND(Y60="Baja",AA60="Menor"),AND(Y60="Baja",AA60="Moderado"),AND(Y60="Media",AA60="Leve"),AND(Y60="Media",AA60="Menor"),AND(Y60="Media",AA60="Moderado"),AND(Y60="Alta",AA60="Leve"),AND(Y60="Alta",AA60="Menor")),"Moderado",IF(OR(AND(Y60="Muy Baja",AA60="Mayor"),AND(Y60="Baja",AA60="Mayor"),AND(Y60="Media",AA60="Mayor"),AND(Y60="Alta",AA60="Moderado"),AND(Y60="Alta",AA60="Mayor"),AND(Y60="Muy Alta",AA60="Leve"),AND(Y60="Muy Alta",AA60="Menor"),AND(Y60="Muy Alta",AA60="Moderado"),AND(Y60="Muy Alta",AA60="Mayor")),"Alto",IF(OR(AND(Y60="Muy Baja",AA60="Catastrófico"),AND(Y60="Baja",AA60="Catastrófico"),AND(Y60="Media",AA60="Catastrófico"),AND(Y60="Alta",AA60="Catastrófico"),AND(Y60="Muy Alta",AA60="Catastrófico")),"Extremo","")))),"")</f>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2</v>
      </c>
      <c r="P61" s="124"/>
      <c r="Q61" s="125" t="str">
        <f>IF(OR(R61="Preventivo",R61="Detectivo"),"Probabilidad",IF(R61="Correctivo","Impacto",""))</f>
        <v/>
      </c>
      <c r="R61" s="126"/>
      <c r="S61" s="126"/>
      <c r="T61" s="127" t="str">
        <f t="shared" ref="T61:T65" si="66">IF(AND(R61="Preventivo",S61="Automático"),"50%",IF(AND(R61="Preventivo",S61="Manual"),"40%",IF(AND(R61="Detectivo",S61="Automático"),"40%",IF(AND(R61="Detectivo",S61="Manual"),"30%",IF(AND(R61="Correctivo",S61="Automático"),"35%",IF(AND(R61="Correctivo",S61="Manual"),"25%",""))))))</f>
        <v/>
      </c>
      <c r="U61" s="126"/>
      <c r="V61" s="126"/>
      <c r="W61" s="126"/>
      <c r="X61" s="128" t="str">
        <f>IFERROR(IF(AND(Q60="Probabilidad",Q61="Probabilidad"),(Z60-(+Z60*T61)),IF(Q61="Probabilidad",(I60-(+I60*T61)),IF(Q61="Impacto",Z60,""))),"")</f>
        <v/>
      </c>
      <c r="Y61" s="129" t="str">
        <f t="shared" si="1"/>
        <v/>
      </c>
      <c r="Z61" s="130" t="str">
        <f t="shared" ref="Z61:Z65" si="67">+X61</f>
        <v/>
      </c>
      <c r="AA61" s="129" t="str">
        <f t="shared" si="3"/>
        <v/>
      </c>
      <c r="AB61" s="130" t="str">
        <f>IFERROR(IF(AND(Q60="Impacto",Q61="Impacto"),(AB54-(+AB54*T61)),IF(Q61="Impacto",($M$60-(+$M$60*T61)),IF(Q61="Probabilidad",AB54,""))),"")</f>
        <v/>
      </c>
      <c r="AC61" s="131" t="str">
        <f t="shared" ref="AC61:AC62" si="68">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3</v>
      </c>
      <c r="P62" s="136"/>
      <c r="Q62" s="125" t="str">
        <f>IF(OR(R62="Preventivo",R62="Detectivo"),"Probabilidad",IF(R62="Correctivo","Impacto",""))</f>
        <v/>
      </c>
      <c r="R62" s="126"/>
      <c r="S62" s="126"/>
      <c r="T62" s="127" t="str">
        <f t="shared" si="66"/>
        <v/>
      </c>
      <c r="U62" s="126"/>
      <c r="V62" s="126"/>
      <c r="W62" s="126"/>
      <c r="X62" s="128" t="str">
        <f>IFERROR(IF(AND(Q61="Probabilidad",Q62="Probabilidad"),(Z61-(+Z61*T62)),IF(AND(Q61="Impacto",Q62="Probabilidad"),(Z60-(+Z60*T62)),IF(Q62="Impacto",Z61,""))),"")</f>
        <v/>
      </c>
      <c r="Y62" s="129" t="str">
        <f t="shared" si="1"/>
        <v/>
      </c>
      <c r="Z62" s="130" t="str">
        <f t="shared" si="67"/>
        <v/>
      </c>
      <c r="AA62" s="129" t="str">
        <f t="shared" si="3"/>
        <v/>
      </c>
      <c r="AB62" s="130" t="str">
        <f>IFERROR(IF(AND(Q61="Impacto",Q62="Impacto"),(AB61-(+AB61*T62)),IF(AND(Q61="Probabilidad",Q62="Impacto"),(AB60-(+AB60*T62)),IF(Q62="Probabilidad",AB61,""))),"")</f>
        <v/>
      </c>
      <c r="AC62" s="131" t="str">
        <f t="shared" si="68"/>
        <v/>
      </c>
      <c r="AD62" s="132"/>
      <c r="AE62" s="133"/>
      <c r="AF62" s="134"/>
      <c r="AG62" s="135"/>
      <c r="AH62" s="135"/>
      <c r="AI62" s="133"/>
      <c r="AJ62" s="134"/>
    </row>
    <row r="63" spans="1:68" ht="151.5" customHeight="1" x14ac:dyDescent="0.3">
      <c r="A63" s="213"/>
      <c r="B63" s="192"/>
      <c r="C63" s="192"/>
      <c r="D63" s="192"/>
      <c r="E63" s="216"/>
      <c r="F63" s="192"/>
      <c r="G63" s="195"/>
      <c r="H63" s="204"/>
      <c r="I63" s="207"/>
      <c r="J63" s="210"/>
      <c r="K63" s="207">
        <f ca="1">IF(NOT(ISERROR(MATCH(J63,_xlfn.ANCHORARRAY(E74),0))),I76&amp;"Por favor no seleccionar los criterios de impacto",J63)</f>
        <v>0</v>
      </c>
      <c r="L63" s="204"/>
      <c r="M63" s="207"/>
      <c r="N63" s="198"/>
      <c r="O63" s="123">
        <v>4</v>
      </c>
      <c r="P63" s="124"/>
      <c r="Q63" s="125" t="str">
        <f t="shared" ref="Q63:Q65" si="69">IF(OR(R63="Preventivo",R63="Detectivo"),"Probabilidad",IF(R63="Correctivo","Impacto",""))</f>
        <v/>
      </c>
      <c r="R63" s="126"/>
      <c r="S63" s="126"/>
      <c r="T63" s="127" t="str">
        <f t="shared" si="66"/>
        <v/>
      </c>
      <c r="U63" s="126"/>
      <c r="V63" s="126"/>
      <c r="W63" s="126"/>
      <c r="X63" s="128" t="str">
        <f t="shared" ref="X63:X65" si="70">IFERROR(IF(AND(Q62="Probabilidad",Q63="Probabilidad"),(Z62-(+Z62*T63)),IF(AND(Q62="Impacto",Q63="Probabilidad"),(Z61-(+Z61*T63)),IF(Q63="Impacto",Z62,""))),"")</f>
        <v/>
      </c>
      <c r="Y63" s="129" t="str">
        <f t="shared" si="1"/>
        <v/>
      </c>
      <c r="Z63" s="130" t="str">
        <f t="shared" si="67"/>
        <v/>
      </c>
      <c r="AA63" s="129" t="str">
        <f t="shared" si="3"/>
        <v/>
      </c>
      <c r="AB63" s="130" t="str">
        <f t="shared" ref="AB63:AB65" si="71">IFERROR(IF(AND(Q62="Impacto",Q63="Impacto"),(AB62-(+AB62*T63)),IF(AND(Q62="Probabilidad",Q63="Impacto"),(AB61-(+AB61*T63)),IF(Q63="Probabilidad",AB62,""))),"")</f>
        <v/>
      </c>
      <c r="AC63" s="131" t="str">
        <f>IFERROR(IF(OR(AND(Y63="Muy Baja",AA63="Leve"),AND(Y63="Muy Baja",AA63="Menor"),AND(Y63="Baja",AA63="Leve")),"Bajo",IF(OR(AND(Y63="Muy baja",AA63="Moderado"),AND(Y63="Baja",AA63="Menor"),AND(Y63="Baja",AA63="Moderado"),AND(Y63="Media",AA63="Leve"),AND(Y63="Media",AA63="Menor"),AND(Y63="Media",AA63="Moderado"),AND(Y63="Alta",AA63="Leve"),AND(Y63="Alta",AA63="Menor")),"Moderado",IF(OR(AND(Y63="Muy Baja",AA63="Mayor"),AND(Y63="Baja",AA63="Mayor"),AND(Y63="Media",AA63="Mayor"),AND(Y63="Alta",AA63="Moderado"),AND(Y63="Alta",AA63="Mayor"),AND(Y63="Muy Alta",AA63="Leve"),AND(Y63="Muy Alta",AA63="Menor"),AND(Y63="Muy Alta",AA63="Moderado"),AND(Y63="Muy Alta",AA63="Mayor")),"Alto",IF(OR(AND(Y63="Muy Baja",AA63="Catastrófico"),AND(Y63="Baja",AA63="Catastrófico"),AND(Y63="Media",AA63="Catastrófico"),AND(Y63="Alta",AA63="Catastrófico"),AND(Y63="Muy Alta",AA63="Catastrófico")),"Extremo","")))),"")</f>
        <v/>
      </c>
      <c r="AD63" s="132"/>
      <c r="AE63" s="133"/>
      <c r="AF63" s="134"/>
      <c r="AG63" s="135"/>
      <c r="AH63" s="135"/>
      <c r="AI63" s="133"/>
      <c r="AJ63" s="134"/>
    </row>
    <row r="64" spans="1:68" ht="151.5" customHeight="1" x14ac:dyDescent="0.3">
      <c r="A64" s="213"/>
      <c r="B64" s="192"/>
      <c r="C64" s="192"/>
      <c r="D64" s="192"/>
      <c r="E64" s="216"/>
      <c r="F64" s="192"/>
      <c r="G64" s="195"/>
      <c r="H64" s="204"/>
      <c r="I64" s="207"/>
      <c r="J64" s="210"/>
      <c r="K64" s="207">
        <f ca="1">IF(NOT(ISERROR(MATCH(J64,_xlfn.ANCHORARRAY(E75),0))),I77&amp;"Por favor no seleccionar los criterios de impacto",J64)</f>
        <v>0</v>
      </c>
      <c r="L64" s="204"/>
      <c r="M64" s="207"/>
      <c r="N64" s="198"/>
      <c r="O64" s="123">
        <v>5</v>
      </c>
      <c r="P64" s="124"/>
      <c r="Q64" s="125" t="str">
        <f t="shared" si="69"/>
        <v/>
      </c>
      <c r="R64" s="126"/>
      <c r="S64" s="126"/>
      <c r="T64" s="127" t="str">
        <f t="shared" si="66"/>
        <v/>
      </c>
      <c r="U64" s="126"/>
      <c r="V64" s="126"/>
      <c r="W64" s="126"/>
      <c r="X64" s="128" t="str">
        <f t="shared" si="70"/>
        <v/>
      </c>
      <c r="Y64" s="129" t="str">
        <f t="shared" si="1"/>
        <v/>
      </c>
      <c r="Z64" s="130" t="str">
        <f t="shared" si="67"/>
        <v/>
      </c>
      <c r="AA64" s="129" t="str">
        <f t="shared" si="3"/>
        <v/>
      </c>
      <c r="AB64" s="130" t="str">
        <f t="shared" si="71"/>
        <v/>
      </c>
      <c r="AC64" s="131" t="str">
        <f t="shared" ref="AC64:AC65" si="72">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row>
    <row r="65" spans="1:36" ht="151.5" customHeight="1" x14ac:dyDescent="0.3">
      <c r="A65" s="214"/>
      <c r="B65" s="193"/>
      <c r="C65" s="193"/>
      <c r="D65" s="193"/>
      <c r="E65" s="217"/>
      <c r="F65" s="193"/>
      <c r="G65" s="196"/>
      <c r="H65" s="205"/>
      <c r="I65" s="208"/>
      <c r="J65" s="211"/>
      <c r="K65" s="208">
        <f ca="1">IF(NOT(ISERROR(MATCH(J65,_xlfn.ANCHORARRAY(E76),0))),I78&amp;"Por favor no seleccionar los criterios de impacto",J65)</f>
        <v>0</v>
      </c>
      <c r="L65" s="205"/>
      <c r="M65" s="208"/>
      <c r="N65" s="199"/>
      <c r="O65" s="123">
        <v>6</v>
      </c>
      <c r="P65" s="124"/>
      <c r="Q65" s="125" t="str">
        <f t="shared" si="69"/>
        <v/>
      </c>
      <c r="R65" s="126"/>
      <c r="S65" s="126"/>
      <c r="T65" s="127" t="str">
        <f t="shared" si="66"/>
        <v/>
      </c>
      <c r="U65" s="126"/>
      <c r="V65" s="126"/>
      <c r="W65" s="126"/>
      <c r="X65" s="128" t="str">
        <f t="shared" si="70"/>
        <v/>
      </c>
      <c r="Y65" s="129" t="str">
        <f t="shared" si="1"/>
        <v/>
      </c>
      <c r="Z65" s="130" t="str">
        <f t="shared" si="67"/>
        <v/>
      </c>
      <c r="AA65" s="129" t="str">
        <f t="shared" si="3"/>
        <v/>
      </c>
      <c r="AB65" s="130" t="str">
        <f t="shared" si="71"/>
        <v/>
      </c>
      <c r="AC65" s="131" t="str">
        <f t="shared" si="72"/>
        <v/>
      </c>
      <c r="AD65" s="132"/>
      <c r="AE65" s="133"/>
      <c r="AF65" s="134"/>
      <c r="AG65" s="135"/>
      <c r="AH65" s="135"/>
      <c r="AI65" s="133"/>
      <c r="AJ65" s="134"/>
    </row>
    <row r="66" spans="1:36" ht="49.5" customHeight="1" x14ac:dyDescent="0.3">
      <c r="A66" s="6"/>
      <c r="B66" s="200" t="s">
        <v>131</v>
      </c>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2"/>
    </row>
    <row r="68" spans="1:36" x14ac:dyDescent="0.3">
      <c r="A68" s="1"/>
      <c r="B68" s="24" t="s">
        <v>143</v>
      </c>
      <c r="C68" s="1"/>
      <c r="D68" s="1"/>
      <c r="F68" s="1"/>
    </row>
  </sheetData>
  <dataConsolidate/>
  <mergeCells count="187">
    <mergeCell ref="F60:F65"/>
    <mergeCell ref="G60:G65"/>
    <mergeCell ref="F54:F59"/>
    <mergeCell ref="G54:G59"/>
    <mergeCell ref="N60:N65"/>
    <mergeCell ref="B66:AJ66"/>
    <mergeCell ref="H60:H65"/>
    <mergeCell ref="I60:I65"/>
    <mergeCell ref="J60:J65"/>
    <mergeCell ref="K60:K65"/>
    <mergeCell ref="L60:L65"/>
    <mergeCell ref="M60:M65"/>
    <mergeCell ref="L54:L59"/>
    <mergeCell ref="M54:M59"/>
    <mergeCell ref="N54:N59"/>
    <mergeCell ref="H54:H59"/>
    <mergeCell ref="I54:I59"/>
    <mergeCell ref="J54:J59"/>
    <mergeCell ref="K54:K59"/>
    <mergeCell ref="A54:A59"/>
    <mergeCell ref="B54:B59"/>
    <mergeCell ref="C54:C59"/>
    <mergeCell ref="D54:D59"/>
    <mergeCell ref="E54:E59"/>
    <mergeCell ref="A60:A65"/>
    <mergeCell ref="B60:B65"/>
    <mergeCell ref="C60:C65"/>
    <mergeCell ref="D60:D65"/>
    <mergeCell ref="E60:E65"/>
    <mergeCell ref="N42:N47"/>
    <mergeCell ref="A48:A53"/>
    <mergeCell ref="B48:B53"/>
    <mergeCell ref="C48:C53"/>
    <mergeCell ref="D48:D53"/>
    <mergeCell ref="E48:E53"/>
    <mergeCell ref="F48:F53"/>
    <mergeCell ref="G48:G53"/>
    <mergeCell ref="H48:H53"/>
    <mergeCell ref="I48:I53"/>
    <mergeCell ref="H42:H47"/>
    <mergeCell ref="I42:I47"/>
    <mergeCell ref="J42:J47"/>
    <mergeCell ref="K42:K47"/>
    <mergeCell ref="L42:L47"/>
    <mergeCell ref="M42:M47"/>
    <mergeCell ref="J48:J53"/>
    <mergeCell ref="K48:K53"/>
    <mergeCell ref="L48:L53"/>
    <mergeCell ref="M48:M53"/>
    <mergeCell ref="N48:N53"/>
    <mergeCell ref="A42:A47"/>
    <mergeCell ref="B42:B47"/>
    <mergeCell ref="C42:C47"/>
    <mergeCell ref="D42:D47"/>
    <mergeCell ref="E42:E47"/>
    <mergeCell ref="F42:F47"/>
    <mergeCell ref="G42:G47"/>
    <mergeCell ref="F36:F41"/>
    <mergeCell ref="G36:G41"/>
    <mergeCell ref="J30:J35"/>
    <mergeCell ref="K30:K35"/>
    <mergeCell ref="L30:L35"/>
    <mergeCell ref="M30:M35"/>
    <mergeCell ref="N30:N35"/>
    <mergeCell ref="A36:A41"/>
    <mergeCell ref="B36:B41"/>
    <mergeCell ref="C36:C41"/>
    <mergeCell ref="D36:D41"/>
    <mergeCell ref="E36:E41"/>
    <mergeCell ref="L36:L41"/>
    <mergeCell ref="M36:M41"/>
    <mergeCell ref="N36:N41"/>
    <mergeCell ref="H36:H41"/>
    <mergeCell ref="I36:I41"/>
    <mergeCell ref="J36:J41"/>
    <mergeCell ref="K36:K41"/>
    <mergeCell ref="A30:A35"/>
    <mergeCell ref="B30:B35"/>
    <mergeCell ref="C30:C35"/>
    <mergeCell ref="D30:D35"/>
    <mergeCell ref="E30:E35"/>
    <mergeCell ref="F30:F35"/>
    <mergeCell ref="G30:G35"/>
    <mergeCell ref="H30:H35"/>
    <mergeCell ref="I30:I35"/>
    <mergeCell ref="N18:N23"/>
    <mergeCell ref="A24:A29"/>
    <mergeCell ref="B24:B29"/>
    <mergeCell ref="C24:C29"/>
    <mergeCell ref="D24:D29"/>
    <mergeCell ref="E24:E29"/>
    <mergeCell ref="F24:F29"/>
    <mergeCell ref="G24:G29"/>
    <mergeCell ref="F18:F23"/>
    <mergeCell ref="G18:G23"/>
    <mergeCell ref="H18:H23"/>
    <mergeCell ref="I18:I23"/>
    <mergeCell ref="J18:J23"/>
    <mergeCell ref="K18:K23"/>
    <mergeCell ref="N24:N29"/>
    <mergeCell ref="H24:H29"/>
    <mergeCell ref="I24:I29"/>
    <mergeCell ref="J24:J29"/>
    <mergeCell ref="K24:K29"/>
    <mergeCell ref="L24:L29"/>
    <mergeCell ref="M24:M29"/>
    <mergeCell ref="A18:A23"/>
    <mergeCell ref="B18:B23"/>
    <mergeCell ref="C18:C23"/>
    <mergeCell ref="D18:D23"/>
    <mergeCell ref="E18:E23"/>
    <mergeCell ref="I12:I17"/>
    <mergeCell ref="J12:J17"/>
    <mergeCell ref="L18:L23"/>
    <mergeCell ref="M18:M23"/>
    <mergeCell ref="K12:K17"/>
    <mergeCell ref="L12:L17"/>
    <mergeCell ref="M12:M17"/>
    <mergeCell ref="N12:N17"/>
    <mergeCell ref="M10:M11"/>
    <mergeCell ref="N10:N11"/>
    <mergeCell ref="A12:A17"/>
    <mergeCell ref="B12:B17"/>
    <mergeCell ref="C12:C17"/>
    <mergeCell ref="D12:D14"/>
    <mergeCell ref="E12:E14"/>
    <mergeCell ref="F12:F17"/>
    <mergeCell ref="G12:G17"/>
    <mergeCell ref="H12:H17"/>
    <mergeCell ref="G10:G11"/>
    <mergeCell ref="H10:H11"/>
    <mergeCell ref="I10:I11"/>
    <mergeCell ref="J10:J11"/>
    <mergeCell ref="K10:K11"/>
    <mergeCell ref="L10:L11"/>
    <mergeCell ref="D15:D17"/>
    <mergeCell ref="E15:E17"/>
    <mergeCell ref="A10:A11"/>
    <mergeCell ref="B10:B11"/>
    <mergeCell ref="C10:C11"/>
    <mergeCell ref="D10:D11"/>
    <mergeCell ref="E10:E11"/>
    <mergeCell ref="AG8:AG9"/>
    <mergeCell ref="AH8:AH9"/>
    <mergeCell ref="AI8:AI9"/>
    <mergeCell ref="AJ8:AJ9"/>
    <mergeCell ref="AD8:AD9"/>
    <mergeCell ref="AE8:AE9"/>
    <mergeCell ref="AF8:AF9"/>
    <mergeCell ref="F10:F11"/>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2 Y10:Y65">
    <cfRule type="cellIs" dxfId="1113" priority="227" operator="equal">
      <formula>"Muy Alta"</formula>
    </cfRule>
    <cfRule type="cellIs" dxfId="1112" priority="228" operator="equal">
      <formula>"Alta"</formula>
    </cfRule>
    <cfRule type="cellIs" dxfId="1111" priority="229" operator="equal">
      <formula>"Media"</formula>
    </cfRule>
    <cfRule type="cellIs" dxfId="1110" priority="230" operator="equal">
      <formula>"Baja"</formula>
    </cfRule>
    <cfRule type="cellIs" dxfId="1109" priority="231" operator="equal">
      <formula>"Muy Baja"</formula>
    </cfRule>
  </conditionalFormatting>
  <conditionalFormatting sqref="H18">
    <cfRule type="cellIs" dxfId="1108" priority="181" operator="equal">
      <formula>"Muy Alta"</formula>
    </cfRule>
    <cfRule type="cellIs" dxfId="1107" priority="182" operator="equal">
      <formula>"Alta"</formula>
    </cfRule>
    <cfRule type="cellIs" dxfId="1106" priority="183" operator="equal">
      <formula>"Media"</formula>
    </cfRule>
    <cfRule type="cellIs" dxfId="1105" priority="184" operator="equal">
      <formula>"Baja"</formula>
    </cfRule>
    <cfRule type="cellIs" dxfId="1104" priority="185" operator="equal">
      <formula>"Muy Baja"</formula>
    </cfRule>
  </conditionalFormatting>
  <conditionalFormatting sqref="H24">
    <cfRule type="cellIs" dxfId="1103" priority="158" operator="equal">
      <formula>"Muy Alta"</formula>
    </cfRule>
    <cfRule type="cellIs" dxfId="1102" priority="159" operator="equal">
      <formula>"Alta"</formula>
    </cfRule>
    <cfRule type="cellIs" dxfId="1101" priority="160" operator="equal">
      <formula>"Media"</formula>
    </cfRule>
    <cfRule type="cellIs" dxfId="1100" priority="161" operator="equal">
      <formula>"Baja"</formula>
    </cfRule>
    <cfRule type="cellIs" dxfId="1099" priority="162" operator="equal">
      <formula>"Muy Baja"</formula>
    </cfRule>
  </conditionalFormatting>
  <conditionalFormatting sqref="H30">
    <cfRule type="cellIs" dxfId="1098" priority="135" operator="equal">
      <formula>"Muy Alta"</formula>
    </cfRule>
    <cfRule type="cellIs" dxfId="1097" priority="136" operator="equal">
      <formula>"Alta"</formula>
    </cfRule>
    <cfRule type="cellIs" dxfId="1096" priority="137" operator="equal">
      <formula>"Media"</formula>
    </cfRule>
    <cfRule type="cellIs" dxfId="1095" priority="138" operator="equal">
      <formula>"Baja"</formula>
    </cfRule>
    <cfRule type="cellIs" dxfId="1094" priority="139" operator="equal">
      <formula>"Muy Baja"</formula>
    </cfRule>
  </conditionalFormatting>
  <conditionalFormatting sqref="H36">
    <cfRule type="cellIs" dxfId="1093" priority="112" operator="equal">
      <formula>"Muy Alta"</formula>
    </cfRule>
    <cfRule type="cellIs" dxfId="1092" priority="113" operator="equal">
      <formula>"Alta"</formula>
    </cfRule>
    <cfRule type="cellIs" dxfId="1091" priority="114" operator="equal">
      <formula>"Media"</formula>
    </cfRule>
    <cfRule type="cellIs" dxfId="1090" priority="115" operator="equal">
      <formula>"Baja"</formula>
    </cfRule>
    <cfRule type="cellIs" dxfId="1089" priority="116" operator="equal">
      <formula>"Muy Baja"</formula>
    </cfRule>
  </conditionalFormatting>
  <conditionalFormatting sqref="H42">
    <cfRule type="cellIs" dxfId="1088" priority="89" operator="equal">
      <formula>"Muy Alta"</formula>
    </cfRule>
    <cfRule type="cellIs" dxfId="1087" priority="90" operator="equal">
      <formula>"Alta"</formula>
    </cfRule>
    <cfRule type="cellIs" dxfId="1086" priority="91" operator="equal">
      <formula>"Media"</formula>
    </cfRule>
    <cfRule type="cellIs" dxfId="1085" priority="92" operator="equal">
      <formula>"Baja"</formula>
    </cfRule>
    <cfRule type="cellIs" dxfId="1084" priority="93" operator="equal">
      <formula>"Muy Baja"</formula>
    </cfRule>
  </conditionalFormatting>
  <conditionalFormatting sqref="H48">
    <cfRule type="cellIs" dxfId="1083" priority="66" operator="equal">
      <formula>"Muy Alta"</formula>
    </cfRule>
    <cfRule type="cellIs" dxfId="1082" priority="67" operator="equal">
      <formula>"Alta"</formula>
    </cfRule>
    <cfRule type="cellIs" dxfId="1081" priority="68" operator="equal">
      <formula>"Media"</formula>
    </cfRule>
    <cfRule type="cellIs" dxfId="1080" priority="69" operator="equal">
      <formula>"Baja"</formula>
    </cfRule>
    <cfRule type="cellIs" dxfId="1079" priority="70" operator="equal">
      <formula>"Muy Baja"</formula>
    </cfRule>
  </conditionalFormatting>
  <conditionalFormatting sqref="H54">
    <cfRule type="cellIs" dxfId="1078" priority="43" operator="equal">
      <formula>"Muy Alta"</formula>
    </cfRule>
    <cfRule type="cellIs" dxfId="1077" priority="44" operator="equal">
      <formula>"Alta"</formula>
    </cfRule>
    <cfRule type="cellIs" dxfId="1076" priority="45" operator="equal">
      <formula>"Media"</formula>
    </cfRule>
    <cfRule type="cellIs" dxfId="1075" priority="46" operator="equal">
      <formula>"Baja"</formula>
    </cfRule>
    <cfRule type="cellIs" dxfId="1074" priority="47" operator="equal">
      <formula>"Muy Baja"</formula>
    </cfRule>
  </conditionalFormatting>
  <conditionalFormatting sqref="H60">
    <cfRule type="cellIs" dxfId="1073" priority="20" operator="equal">
      <formula>"Muy Alta"</formula>
    </cfRule>
    <cfRule type="cellIs" dxfId="1072" priority="21" operator="equal">
      <formula>"Alta"</formula>
    </cfRule>
    <cfRule type="cellIs" dxfId="1071" priority="22" operator="equal">
      <formula>"Media"</formula>
    </cfRule>
    <cfRule type="cellIs" dxfId="1070" priority="23" operator="equal">
      <formula>"Baja"</formula>
    </cfRule>
    <cfRule type="cellIs" dxfId="1069" priority="24" operator="equal">
      <formula>"Muy Baja"</formula>
    </cfRule>
  </conditionalFormatting>
  <conditionalFormatting sqref="K10:K65">
    <cfRule type="containsText" dxfId="1068" priority="1" operator="containsText" text="❌">
      <formula>NOT(ISERROR(SEARCH("❌",K10)))</formula>
    </cfRule>
  </conditionalFormatting>
  <conditionalFormatting sqref="L10 L12 L18 L24 L30 L36 L42 L48 L54 L60 AA10:AA65">
    <cfRule type="cellIs" dxfId="1067" priority="222" operator="equal">
      <formula>"Catastrófico"</formula>
    </cfRule>
    <cfRule type="cellIs" dxfId="1066" priority="223" operator="equal">
      <formula>"Mayor"</formula>
    </cfRule>
    <cfRule type="cellIs" dxfId="1065" priority="224" operator="equal">
      <formula>"Moderado"</formula>
    </cfRule>
    <cfRule type="cellIs" dxfId="1064" priority="225" operator="equal">
      <formula>"Menor"</formula>
    </cfRule>
    <cfRule type="cellIs" dxfId="1063" priority="226" operator="equal">
      <formula>"Leve"</formula>
    </cfRule>
  </conditionalFormatting>
  <conditionalFormatting sqref="N10 AC10:AC65">
    <cfRule type="cellIs" dxfId="1062" priority="218" operator="equal">
      <formula>"Extremo"</formula>
    </cfRule>
    <cfRule type="cellIs" dxfId="1061" priority="219" operator="equal">
      <formula>"Alto"</formula>
    </cfRule>
    <cfRule type="cellIs" dxfId="1060" priority="220" operator="equal">
      <formula>"Moderado"</formula>
    </cfRule>
    <cfRule type="cellIs" dxfId="1059" priority="221" operator="equal">
      <formula>"Bajo"</formula>
    </cfRule>
  </conditionalFormatting>
  <conditionalFormatting sqref="N12">
    <cfRule type="cellIs" dxfId="1058" priority="200" operator="equal">
      <formula>"Extremo"</formula>
    </cfRule>
    <cfRule type="cellIs" dxfId="1057" priority="201" operator="equal">
      <formula>"Alto"</formula>
    </cfRule>
    <cfRule type="cellIs" dxfId="1056" priority="202" operator="equal">
      <formula>"Moderado"</formula>
    </cfRule>
    <cfRule type="cellIs" dxfId="1055" priority="203" operator="equal">
      <formula>"Bajo"</formula>
    </cfRule>
  </conditionalFormatting>
  <conditionalFormatting sqref="N18">
    <cfRule type="cellIs" dxfId="1054" priority="177" operator="equal">
      <formula>"Extremo"</formula>
    </cfRule>
    <cfRule type="cellIs" dxfId="1053" priority="178" operator="equal">
      <formula>"Alto"</formula>
    </cfRule>
    <cfRule type="cellIs" dxfId="1052" priority="179" operator="equal">
      <formula>"Moderado"</formula>
    </cfRule>
    <cfRule type="cellIs" dxfId="1051" priority="180" operator="equal">
      <formula>"Bajo"</formula>
    </cfRule>
  </conditionalFormatting>
  <conditionalFormatting sqref="N24">
    <cfRule type="cellIs" dxfId="1050" priority="154" operator="equal">
      <formula>"Extremo"</formula>
    </cfRule>
    <cfRule type="cellIs" dxfId="1049" priority="155" operator="equal">
      <formula>"Alto"</formula>
    </cfRule>
    <cfRule type="cellIs" dxfId="1048" priority="156" operator="equal">
      <formula>"Moderado"</formula>
    </cfRule>
    <cfRule type="cellIs" dxfId="1047" priority="157" operator="equal">
      <formula>"Bajo"</formula>
    </cfRule>
  </conditionalFormatting>
  <conditionalFormatting sqref="N30">
    <cfRule type="cellIs" dxfId="1046" priority="131" operator="equal">
      <formula>"Extremo"</formula>
    </cfRule>
    <cfRule type="cellIs" dxfId="1045" priority="132" operator="equal">
      <formula>"Alto"</formula>
    </cfRule>
    <cfRule type="cellIs" dxfId="1044" priority="133" operator="equal">
      <formula>"Moderado"</formula>
    </cfRule>
    <cfRule type="cellIs" dxfId="1043" priority="134" operator="equal">
      <formula>"Bajo"</formula>
    </cfRule>
  </conditionalFormatting>
  <conditionalFormatting sqref="N36">
    <cfRule type="cellIs" dxfId="1042" priority="108" operator="equal">
      <formula>"Extremo"</formula>
    </cfRule>
    <cfRule type="cellIs" dxfId="1041" priority="109" operator="equal">
      <formula>"Alto"</formula>
    </cfRule>
    <cfRule type="cellIs" dxfId="1040" priority="110" operator="equal">
      <formula>"Moderado"</formula>
    </cfRule>
    <cfRule type="cellIs" dxfId="1039" priority="111" operator="equal">
      <formula>"Bajo"</formula>
    </cfRule>
  </conditionalFormatting>
  <conditionalFormatting sqref="N42">
    <cfRule type="cellIs" dxfId="1038" priority="85" operator="equal">
      <formula>"Extremo"</formula>
    </cfRule>
    <cfRule type="cellIs" dxfId="1037" priority="86" operator="equal">
      <formula>"Alto"</formula>
    </cfRule>
    <cfRule type="cellIs" dxfId="1036" priority="87" operator="equal">
      <formula>"Moderado"</formula>
    </cfRule>
    <cfRule type="cellIs" dxfId="1035" priority="88" operator="equal">
      <formula>"Bajo"</formula>
    </cfRule>
  </conditionalFormatting>
  <conditionalFormatting sqref="N48">
    <cfRule type="cellIs" dxfId="1034" priority="62" operator="equal">
      <formula>"Extremo"</formula>
    </cfRule>
    <cfRule type="cellIs" dxfId="1033" priority="63" operator="equal">
      <formula>"Alto"</formula>
    </cfRule>
    <cfRule type="cellIs" dxfId="1032" priority="64" operator="equal">
      <formula>"Moderado"</formula>
    </cfRule>
    <cfRule type="cellIs" dxfId="1031" priority="65" operator="equal">
      <formula>"Bajo"</formula>
    </cfRule>
  </conditionalFormatting>
  <conditionalFormatting sqref="N54">
    <cfRule type="cellIs" dxfId="1030" priority="39" operator="equal">
      <formula>"Extremo"</formula>
    </cfRule>
    <cfRule type="cellIs" dxfId="1029" priority="40" operator="equal">
      <formula>"Alto"</formula>
    </cfRule>
    <cfRule type="cellIs" dxfId="1028" priority="41" operator="equal">
      <formula>"Moderado"</formula>
    </cfRule>
    <cfRule type="cellIs" dxfId="1027" priority="42" operator="equal">
      <formula>"Bajo"</formula>
    </cfRule>
  </conditionalFormatting>
  <conditionalFormatting sqref="N60">
    <cfRule type="cellIs" dxfId="1026" priority="16" operator="equal">
      <formula>"Extremo"</formula>
    </cfRule>
    <cfRule type="cellIs" dxfId="1025" priority="17" operator="equal">
      <formula>"Alto"</formula>
    </cfRule>
    <cfRule type="cellIs" dxfId="1024" priority="18" operator="equal">
      <formula>"Moderado"</formula>
    </cfRule>
    <cfRule type="cellIs" dxfId="1023" priority="19" operator="equal">
      <formula>"Bajo"</formula>
    </cfRule>
  </conditionalFormatting>
  <pageMargins left="0.75"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400-00000A000000}">
          <x14:formula1>
            <xm:f>'Opciones Tratamiento'!$B$9:$B$10</xm:f>
          </x14:formula1>
          <xm:sqref>AJ10:AJ13 AJ15:AJ16 AJ18:AJ19 AJ21:AJ22 AJ24:AJ25 AJ27:AJ28 AJ30:AJ31 AJ33:AJ34 AJ36:AJ37 AJ39:AJ40 AJ42:AJ43 AJ45:AJ46 AJ48:AJ49 AJ51:AJ52 AJ54:AJ55 AJ57:AJ58 AJ60:AJ61 AJ63:AJ64</xm:sqref>
        </x14:dataValidation>
        <x14:dataValidation type="custom" allowBlank="1" showInputMessage="1" showErrorMessage="1" error="Recuerde que las acciones se generan bajo la medida de mitigar el riesgo" xr:uid="{00000000-0002-0000-0400-000000000000}">
          <x14:formula1>
            <xm:f>IF(OR(AD10='Opciones Tratamiento'!$B$2,AD10='Opciones Tratamiento'!$B$3,AD10='Opciones Tratamiento'!$B$4),ISBLANK(AD10),ISTEXT(AD10))</xm:f>
          </x14:formula1>
          <xm:sqref>AI10:AI65</xm:sqref>
        </x14:dataValidation>
        <x14:dataValidation type="custom" allowBlank="1" showInputMessage="1" showErrorMessage="1" error="Recuerde que las acciones se generan bajo la medida de mitigar el riesgo" xr:uid="{00000000-0002-0000-0400-000001000000}">
          <x14:formula1>
            <xm:f>IF(OR(AD12='Opciones Tratamiento'!$B$2,AD12='Opciones Tratamiento'!$B$3,AD12='Opciones Tratamiento'!$B$4),ISBLANK(AD12),ISTEXT(AD12))</xm:f>
          </x14:formula1>
          <xm:sqref>AH12:AH65</xm:sqref>
        </x14:dataValidation>
        <x14:dataValidation type="custom" allowBlank="1" showInputMessage="1" showErrorMessage="1" error="Recuerde que las acciones se generan bajo la medida de mitigar el riesgo" xr:uid="{00000000-0002-0000-0400-000002000000}">
          <x14:formula1>
            <xm:f>IF(OR(AD10='Opciones Tratamiento'!$B$2,AD10='Opciones Tratamiento'!$B$3,AD10='Opciones Tratamiento'!$B$4),ISBLANK(AD10),ISTEXT(AD10))</xm:f>
          </x14:formula1>
          <xm:sqref>AG10:AG65 AH10:AH11</xm:sqref>
        </x14:dataValidation>
        <x14:dataValidation type="custom" allowBlank="1" showInputMessage="1" showErrorMessage="1" error="Recuerde que las acciones se generan bajo la medida de mitigar el riesgo" xr:uid="{00000000-0002-0000-0400-000003000000}">
          <x14:formula1>
            <xm:f>IF(OR(AD10='Opciones Tratamiento'!$B$2,AD10='Opciones Tratamiento'!$B$3,AD10='Opciones Tratamiento'!$B$4),ISBLANK(AD10),ISTEXT(AD10))</xm:f>
          </x14:formula1>
          <xm:sqref>AF10:AF65</xm:sqref>
        </x14:dataValidation>
        <x14:dataValidation type="custom" allowBlank="1" showInputMessage="1" showErrorMessage="1" error="Recuerde que las acciones se generan bajo la medida de mitigar el riesgo" xr:uid="{00000000-0002-0000-0400-000004000000}">
          <x14:formula1>
            <xm:f>IF(OR(AD10='Opciones Tratamiento'!$B$2,AD10='Opciones Tratamiento'!$B$3,AD10='Opciones Tratamiento'!$B$4),ISBLANK(AD10),ISTEXT(AD10))</xm:f>
          </x14:formula1>
          <xm:sqref>AE10:AE65</xm:sqref>
        </x14:dataValidation>
        <x14:dataValidation type="list" allowBlank="1" showInputMessage="1" showErrorMessage="1" xr:uid="{00000000-0002-0000-0400-000005000000}">
          <x14:formula1>
            <xm:f>'Tabla Impacto'!$F$210:$F$221</xm:f>
          </x14:formula1>
          <xm:sqref>J10:J65</xm:sqref>
        </x14:dataValidation>
        <x14:dataValidation type="list" allowBlank="1" showInputMessage="1" showErrorMessage="1" xr:uid="{00000000-0002-0000-0400-000006000000}">
          <x14:formula1>
            <xm:f>'Opciones Tratamiento'!$B$2:$B$5</xm:f>
          </x14:formula1>
          <xm:sqref>AD10:AD65</xm:sqref>
        </x14:dataValidation>
        <x14:dataValidation type="list" allowBlank="1" showInputMessage="1" showErrorMessage="1" xr:uid="{00000000-0002-0000-0400-000007000000}">
          <x14:formula1>
            <xm:f>'Opciones Tratamiento'!$E$2:$E$4</xm:f>
          </x14:formula1>
          <xm:sqref>B10:B65</xm:sqref>
        </x14:dataValidation>
        <x14:dataValidation type="list" allowBlank="1" showInputMessage="1" showErrorMessage="1" xr:uid="{00000000-0002-0000-0400-000008000000}">
          <x14:formula1>
            <xm:f>'Opciones Tratamiento'!$B$13:$B$19</xm:f>
          </x14:formula1>
          <xm:sqref>F10:F65</xm:sqref>
        </x14:dataValidation>
        <x14:dataValidation type="list" allowBlank="1" showInputMessage="1" showErrorMessage="1" xr:uid="{00000000-0002-0000-0400-000009000000}">
          <x14:formula1>
            <xm:f>'Tabla Valoración controles'!$D$13:$D$14</xm:f>
          </x14:formula1>
          <xm:sqref>W10:W65</xm:sqref>
        </x14:dataValidation>
        <x14:dataValidation type="list" allowBlank="1" showInputMessage="1" showErrorMessage="1" xr:uid="{00000000-0002-0000-0400-00000B000000}">
          <x14:formula1>
            <xm:f>'Tabla Valoración controles'!$D$11:$D$12</xm:f>
          </x14:formula1>
          <xm:sqref>V10:V65</xm:sqref>
        </x14:dataValidation>
        <x14:dataValidation type="list" allowBlank="1" showInputMessage="1" showErrorMessage="1" xr:uid="{00000000-0002-0000-0400-00000C000000}">
          <x14:formula1>
            <xm:f>'Tabla Valoración controles'!$D$9:$D$10</xm:f>
          </x14:formula1>
          <xm:sqref>U10:U65</xm:sqref>
        </x14:dataValidation>
        <x14:dataValidation type="list" allowBlank="1" showInputMessage="1" showErrorMessage="1" xr:uid="{00000000-0002-0000-0400-00000D000000}">
          <x14:formula1>
            <xm:f>'Tabla Valoración controles'!$D$7:$D$8</xm:f>
          </x14:formula1>
          <xm:sqref>S10:S65</xm:sqref>
        </x14:dataValidation>
        <x14:dataValidation type="list" allowBlank="1" showInputMessage="1" showErrorMessage="1" xr:uid="{00000000-0002-0000-0400-00000E000000}">
          <x14:formula1>
            <xm:f>'Tabla Valoración controles'!$D$4:$D$6</xm:f>
          </x14:formula1>
          <xm:sqref>R10:R65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56CDD-6A7E-4F70-88C3-E290CB98073A}">
  <sheetPr>
    <tabColor rgb="FF7030A0"/>
  </sheetPr>
  <dimension ref="A1:BP65"/>
  <sheetViews>
    <sheetView topLeftCell="A11" zoomScale="69" zoomScaleNormal="69" workbookViewId="0">
      <selection activeCell="H14" sqref="H14"/>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335</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336</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337</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132</v>
      </c>
      <c r="C10" s="191" t="s">
        <v>215</v>
      </c>
      <c r="D10" s="191" t="s">
        <v>217</v>
      </c>
      <c r="E10" s="215" t="s">
        <v>216</v>
      </c>
      <c r="F10" s="191" t="s">
        <v>123</v>
      </c>
      <c r="G10" s="194">
        <v>12</v>
      </c>
      <c r="H10" s="203" t="str">
        <f>IF(G10&lt;=0,"",IF(G10&lt;=2,"Muy Baja",IF(G10&lt;=24,"Baja",IF(G10&lt;=500,"Media",IF(G10&lt;=5000,"Alta","Muy Alta")))))</f>
        <v>Baja</v>
      </c>
      <c r="I10" s="206">
        <f>IF(H10="","",IF(H10="Muy Baja",0.2,IF(H10="Baja",0.4,IF(H10="Media",0.6,IF(H10="Alta",0.8,IF(H10="Muy Alta",1,))))))</f>
        <v>0.4</v>
      </c>
      <c r="J10" s="209" t="s">
        <v>155</v>
      </c>
      <c r="K10" s="206"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03"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06">
        <f ca="1">IF(L10="","",IF(L10="Leve",0.2,IF(L10="Menor",0.4,IF(L10="Moderado",0.6,IF(L10="Mayor",0.8,IF(L10="Catastrófico",1,))))))</f>
        <v>0.6</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262</v>
      </c>
      <c r="AF10" s="133" t="s">
        <v>316</v>
      </c>
      <c r="AG10" s="135">
        <v>45291</v>
      </c>
      <c r="AH10" s="404">
        <v>45273</v>
      </c>
      <c r="AI10" s="133" t="s">
        <v>317</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88.5" customHeight="1" x14ac:dyDescent="0.3">
      <c r="A11" s="213"/>
      <c r="B11" s="192"/>
      <c r="C11" s="192"/>
      <c r="D11" s="192"/>
      <c r="E11" s="216"/>
      <c r="F11" s="192"/>
      <c r="G11" s="195"/>
      <c r="H11" s="204"/>
      <c r="I11" s="207"/>
      <c r="J11" s="210"/>
      <c r="K11" s="207">
        <f ca="1">IF(NOT(ISERROR(MATCH(J11,_xlfn.ANCHORARRAY(E15),0))),I17&amp;"Por favor no seleccionar los criterios de impacto",J11)</f>
        <v>0</v>
      </c>
      <c r="L11" s="204"/>
      <c r="M11" s="207"/>
      <c r="N11" s="198"/>
      <c r="O11" s="123">
        <v>2</v>
      </c>
      <c r="P11" s="124" t="s">
        <v>260</v>
      </c>
      <c r="Q11" s="125" t="str">
        <f>IF(OR(R11="Preventivo",R11="Detectivo"),"Probabilidad",IF(R11="Correctivo","Impacto",""))</f>
        <v>Probabilidad</v>
      </c>
      <c r="R11" s="126" t="s">
        <v>14</v>
      </c>
      <c r="S11" s="126" t="s">
        <v>9</v>
      </c>
      <c r="T11" s="127" t="str">
        <f t="shared" ref="T11:T13"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2" si="1">IFERROR(IF(X11="","",IF(X11&lt;=0.2,"Muy Baja",IF(X11&lt;=0.4,"Baja",IF(X11&lt;=0.6,"Media",IF(X11&lt;=0.8,"Alta","Muy Alta"))))),"")</f>
        <v>Muy Baja</v>
      </c>
      <c r="Z11" s="130">
        <f t="shared" ref="Z11:Z13" si="2">+X11</f>
        <v>0.14399999999999999</v>
      </c>
      <c r="AA11" s="129" t="str">
        <f t="shared" ref="AA11:AA62" ca="1" si="3">IFERROR(IF(AB11="","",IF(AB11&lt;=0.2,"Leve",IF(AB11&lt;=0.4,"Menor",IF(AB11&lt;=0.6,"Moderado",IF(AB11&lt;=0.8,"Mayor","Catastrófico"))))),"")</f>
        <v>Moderado</v>
      </c>
      <c r="AB11" s="130">
        <f ca="1">IFERROR(IF(AND(Q10="Impacto",Q11="Impacto"),(AB10-(+AB10*T11)),IF(Q11="Impacto",($M$10-(+$M$10*T11)),IF(Q11="Probabilidad",AB10,""))),"")</f>
        <v>0.6</v>
      </c>
      <c r="AC11" s="131" t="str">
        <f t="shared" ref="AC11:AC13"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263</v>
      </c>
      <c r="AF11" s="133" t="s">
        <v>264</v>
      </c>
      <c r="AG11" s="135">
        <v>45291</v>
      </c>
      <c r="AH11" s="404">
        <v>45273</v>
      </c>
      <c r="AI11" s="133" t="s">
        <v>423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hidden="1" customHeight="1" x14ac:dyDescent="0.3">
      <c r="A12" s="213"/>
      <c r="B12" s="192"/>
      <c r="C12" s="192"/>
      <c r="D12" s="192"/>
      <c r="E12" s="216"/>
      <c r="F12" s="192"/>
      <c r="G12" s="195"/>
      <c r="H12" s="204"/>
      <c r="I12" s="207"/>
      <c r="J12" s="210"/>
      <c r="K12" s="207">
        <f ca="1">IF(NOT(ISERROR(MATCH(J12,_xlfn.ANCHORARRAY(E18),0))),I20&amp;"Por favor no seleccionar los criterios de impacto",J12)</f>
        <v>0</v>
      </c>
      <c r="L12" s="204"/>
      <c r="M12" s="207"/>
      <c r="N12" s="198"/>
      <c r="O12" s="123">
        <v>5</v>
      </c>
      <c r="P12" s="124"/>
      <c r="Q12" s="125" t="str">
        <f t="shared" ref="Q12:Q13" si="5">IF(OR(R12="Preventivo",R12="Detectivo"),"Probabilidad",IF(R12="Correctivo","Impacto",""))</f>
        <v/>
      </c>
      <c r="R12" s="126"/>
      <c r="S12" s="126"/>
      <c r="T12" s="127" t="str">
        <f t="shared" si="0"/>
        <v/>
      </c>
      <c r="U12" s="126"/>
      <c r="V12" s="126"/>
      <c r="W12" s="126"/>
      <c r="X12" s="128" t="str">
        <f>IFERROR(IF(AND(#REF!="Probabilidad",Q12="Probabilidad"),(#REF!-(+#REF!*T12)),IF(AND(#REF!="Impacto",Q12="Probabilidad"),(#REF!-(+#REF!*T12)),IF(Q12="Impacto",#REF!,""))),"")</f>
        <v/>
      </c>
      <c r="Y12" s="129" t="str">
        <f t="shared" si="1"/>
        <v/>
      </c>
      <c r="Z12" s="130" t="str">
        <f t="shared" si="2"/>
        <v/>
      </c>
      <c r="AA12" s="129" t="str">
        <f t="shared" si="3"/>
        <v/>
      </c>
      <c r="AB12" s="130" t="str">
        <f>IFERROR(IF(AND(#REF!="Impacto",Q12="Impacto"),(#REF!-(+#REF!*T12)),IF(AND(#REF!="Probabilidad",Q12="Impacto"),(#REF!-(+#REF!*T12)),IF(Q12="Probabilidad",#REF!,""))),"")</f>
        <v/>
      </c>
      <c r="AC12" s="131" t="str">
        <f t="shared" si="4"/>
        <v/>
      </c>
      <c r="AD12" s="132"/>
      <c r="AE12" s="133"/>
      <c r="AF12" s="134"/>
      <c r="AG12" s="135"/>
      <c r="AH12" s="404"/>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hidden="1" customHeight="1" x14ac:dyDescent="0.3">
      <c r="A13" s="214"/>
      <c r="B13" s="193"/>
      <c r="C13" s="193"/>
      <c r="D13" s="193"/>
      <c r="E13" s="217"/>
      <c r="F13" s="193"/>
      <c r="G13" s="196"/>
      <c r="H13" s="205"/>
      <c r="I13" s="208"/>
      <c r="J13" s="211"/>
      <c r="K13" s="208">
        <f ca="1">IF(NOT(ISERROR(MATCH(J13,_xlfn.ANCHORARRAY(E19),0))),I21&amp;"Por favor no seleccionar los criterios de impacto",J13)</f>
        <v>0</v>
      </c>
      <c r="L13" s="205"/>
      <c r="M13" s="208"/>
      <c r="N13" s="199"/>
      <c r="O13" s="123">
        <v>6</v>
      </c>
      <c r="P13" s="124"/>
      <c r="Q13" s="125" t="str">
        <f t="shared" si="5"/>
        <v/>
      </c>
      <c r="R13" s="126"/>
      <c r="S13" s="126"/>
      <c r="T13" s="127" t="str">
        <f t="shared" si="0"/>
        <v/>
      </c>
      <c r="U13" s="126"/>
      <c r="V13" s="126"/>
      <c r="W13" s="126"/>
      <c r="X13" s="128" t="str">
        <f>IFERROR(IF(AND(Q12="Probabilidad",Q13="Probabilidad"),(Z12-(+Z12*T13)),IF(AND(Q12="Impacto",Q13="Probabilidad"),(#REF!-(+#REF!*T13)),IF(Q13="Impacto",Z12,""))),"")</f>
        <v/>
      </c>
      <c r="Y13" s="129" t="str">
        <f t="shared" si="1"/>
        <v/>
      </c>
      <c r="Z13" s="130" t="str">
        <f t="shared" si="2"/>
        <v/>
      </c>
      <c r="AA13" s="129" t="str">
        <f t="shared" si="3"/>
        <v/>
      </c>
      <c r="AB13" s="130" t="str">
        <f>IFERROR(IF(AND(Q12="Impacto",Q13="Impacto"),(AB12-(+AB12*T13)),IF(AND(Q12="Probabilidad",Q13="Impacto"),(#REF!-(+#REF!*T13)),IF(Q13="Probabilidad",AB12,""))),"")</f>
        <v/>
      </c>
      <c r="AC13" s="131" t="str">
        <f t="shared" si="4"/>
        <v/>
      </c>
      <c r="AD13" s="132"/>
      <c r="AE13" s="133"/>
      <c r="AF13" s="134"/>
      <c r="AG13" s="135"/>
      <c r="AH13" s="404"/>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44">
        <v>2</v>
      </c>
      <c r="B14" s="150" t="s">
        <v>133</v>
      </c>
      <c r="C14" s="145" t="s">
        <v>411</v>
      </c>
      <c r="D14" s="145" t="s">
        <v>412</v>
      </c>
      <c r="E14" s="151" t="s">
        <v>413</v>
      </c>
      <c r="F14" s="145" t="s">
        <v>123</v>
      </c>
      <c r="G14" s="146">
        <v>50</v>
      </c>
      <c r="H14" s="147" t="str">
        <f>IF(G14&lt;=0,"",IF(G14&lt;=2,"Muy Baja",IF(G14&lt;=24,"Baja",IF(G14&lt;=500,"Media",IF(G14&lt;=5000,"Alta","Muy Alta")))))</f>
        <v>Media</v>
      </c>
      <c r="I14" s="143">
        <f>IF(H14="","",IF(H14="Muy Baja",0.2,IF(H14="Baja",0.4,IF(H14="Media",0.6,IF(H14="Alta",0.8,IF(H14="Muy Alta",1,))))))</f>
        <v>0.6</v>
      </c>
      <c r="J14" s="148" t="s">
        <v>153</v>
      </c>
      <c r="K14" s="143" t="str">
        <f>IF(NOT(ISERROR(MATCH(J14,'[1]Tabla Impacto'!$B$221:$B$223,0))),'[1]Tabla Impacto'!$F$223&amp;"Por favor no seleccionar los criterios de impacto(Afectación Económica o presupuestal y Pérdida Reputacional)",J14)</f>
        <v xml:space="preserve">     El riesgo afecta la imagen de alguna área de la organización</v>
      </c>
      <c r="L14" s="147" t="str">
        <f>IF(OR(K14='[1]Tabla Impacto'!$C$11,K14='[1]Tabla Impacto'!$D$11),"Leve",IF(OR(K14='[1]Tabla Impacto'!$C$12,K14='[1]Tabla Impacto'!$D$12),"Menor",IF(OR(K14='[1]Tabla Impacto'!$C$13,K14='[1]Tabla Impacto'!$D$13),"Moderado",IF(OR(K14='[1]Tabla Impacto'!$C$14,K14='[1]Tabla Impacto'!$D$14),"Mayor",IF(OR(K14='[1]Tabla Impacto'!$C$15,K14='[1]Tabla Impacto'!$D$15),"Catastrófico","")))))</f>
        <v>Leve</v>
      </c>
      <c r="M14" s="143">
        <f>IF(L14="","",IF(L14="Leve",0.2,IF(L14="Menor",0.4,IF(L14="Moderado",0.6,IF(L14="Mayor",0.8,IF(L14="Catastrófico",1,))))))</f>
        <v>0.2</v>
      </c>
      <c r="N14" s="142" t="str">
        <f>IF(OR(AND(H14="Muy Baja",L14="Leve"),AND(H14="Muy Baja",L14="Menor"),AND(H14="Baja",L14="Leve")),"Bajo",IF(OR(AND(H14="Muy baja",L14="Moderado"),AND(H14="Baja",L14="Menor"),AND(H14="Baja",L14="Moderado"),AND(H14="Media",L14="Leve"),AND(H14="Media",L14="Menor"),AND(H14="Media",L14="Moderado"),AND(H14="Alta",L14="Leve"),AND(H14="Alta",L14="Menor")),"Moderado",IF(OR(AND(H14="Muy Baja",L14="Mayor"),AND(H14="Baja",L14="Mayor"),AND(H14="Media",L14="Mayor"),AND(H14="Alta",L14="Moderado"),AND(H14="Alta",L14="Mayor"),AND(H14="Muy Alta",L14="Leve"),AND(H14="Muy Alta",L14="Menor"),AND(H14="Muy Alta",L14="Moderado"),AND(H14="Muy Alta",L14="Mayor")),"Alto",IF(OR(AND(H14="Muy Baja",L14="Catastrófico"),AND(H14="Baja",L14="Catastrófico"),AND(H14="Media",L14="Catastrófico"),AND(H14="Alta",L14="Catastrófico"),AND(H14="Muy Alta",L14="Catastrófico")),"Extremo",""))))</f>
        <v>Moderado</v>
      </c>
      <c r="O14" s="123">
        <v>1</v>
      </c>
      <c r="P14" s="149" t="s">
        <v>424</v>
      </c>
      <c r="Q14" s="125" t="str">
        <f>IF(OR(R14="Preventivo",R14="Detectivo"),"Probabilidad",IF(R14="Correctivo","Impacto",""))</f>
        <v>Probabilidad</v>
      </c>
      <c r="R14" s="126" t="s">
        <v>14</v>
      </c>
      <c r="S14" s="126" t="s">
        <v>9</v>
      </c>
      <c r="T14" s="127" t="str">
        <f>IF(AND(R14="Preventivo",S14="Automático"),"50%",IF(AND(R14="Preventivo",S14="Manual"),"40%",IF(AND(R14="Detectivo",S14="Automático"),"40%",IF(AND(R14="Detectivo",S14="Manual"),"30%",IF(AND(R14="Correctivo",S14="Automático"),"35%",IF(AND(R14="Correctivo",S14="Manual"),"25%",""))))))</f>
        <v>40%</v>
      </c>
      <c r="U14" s="126" t="s">
        <v>19</v>
      </c>
      <c r="V14" s="126" t="s">
        <v>22</v>
      </c>
      <c r="W14" s="126" t="s">
        <v>119</v>
      </c>
      <c r="X14" s="128">
        <f>IFERROR(IF(Q14="Probabilidad",(I14-(+I14*T14)),IF(Q14="Impacto",I14,"")),"")</f>
        <v>0.36</v>
      </c>
      <c r="Y14" s="129" t="str">
        <f>IFERROR(IF(X14="","",IF(X14&lt;=0.2,"Muy Baja",IF(X14&lt;=0.4,"Baja",IF(X14&lt;=0.6,"Media",IF(X14&lt;=0.8,"Alta","Muy Alta"))))),"")</f>
        <v>Baja</v>
      </c>
      <c r="Z14" s="130">
        <f>+X14</f>
        <v>0.36</v>
      </c>
      <c r="AA14" s="129" t="str">
        <f>IFERROR(IF(AB14="","",IF(AB14&lt;=0.2,"Leve",IF(AB14&lt;=0.4,"Menor",IF(AB14&lt;=0.6,"Moderado",IF(AB14&lt;=0.8,"Mayor","Catastrófico"))))),"")</f>
        <v>Leve</v>
      </c>
      <c r="AB14" s="130">
        <f>IFERROR(IF(Q14="Impacto",(M14-(+M14*T14)),IF(Q14="Probabilidad",M14,"")),"")</f>
        <v>0.2</v>
      </c>
      <c r="AC14" s="131" t="str">
        <f>IFERROR(IF(OR(AND(Y14="Muy Baja",AA14="Leve"),AND(Y14="Muy Baja",AA14="Menor"),AND(Y14="Baja",AA14="Leve")),"Bajo",IF(OR(AND(Y14="Muy baja",AA14="Moderado"),AND(Y14="Baja",AA14="Menor"),AND(Y14="Baja",AA14="Moderado"),AND(Y14="Media",AA14="Leve"),AND(Y14="Media",AA14="Menor"),AND(Y14="Media",AA14="Moderado"),AND(Y14="Alta",AA14="Leve"),AND(Y14="Alta",AA14="Menor")),"Moderado",IF(OR(AND(Y14="Muy Baja",AA14="Mayor"),AND(Y14="Baja",AA14="Mayor"),AND(Y14="Media",AA14="Mayor"),AND(Y14="Alta",AA14="Moderado"),AND(Y14="Alta",AA14="Mayor"),AND(Y14="Muy Alta",AA14="Leve"),AND(Y14="Muy Alta",AA14="Menor"),AND(Y14="Muy Alta",AA14="Moderado"),AND(Y14="Muy Alta",AA14="Mayor")),"Alto",IF(OR(AND(Y14="Muy Baja",AA14="Catastrófico"),AND(Y14="Baja",AA14="Catastrófico"),AND(Y14="Media",AA14="Catastrófico"),AND(Y14="Alta",AA14="Catastrófico"),AND(Y14="Muy Alta",AA14="Catastrófico")),"Extremo","")))),"")</f>
        <v>Bajo</v>
      </c>
      <c r="AD14" s="132" t="s">
        <v>136</v>
      </c>
      <c r="AE14" s="133" t="s">
        <v>425</v>
      </c>
      <c r="AF14" s="133" t="s">
        <v>264</v>
      </c>
      <c r="AG14" s="135">
        <v>45291</v>
      </c>
      <c r="AH14" s="404">
        <v>45273</v>
      </c>
      <c r="AI14" s="133" t="s">
        <v>426</v>
      </c>
      <c r="AJ14" s="134" t="s">
        <v>41</v>
      </c>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2">
        <v>3</v>
      </c>
      <c r="B15" s="191"/>
      <c r="C15" s="191"/>
      <c r="D15" s="191"/>
      <c r="E15" s="215"/>
      <c r="F15" s="191"/>
      <c r="G15" s="194"/>
      <c r="H15" s="203" t="str">
        <f>IF(G15&lt;=0,"",IF(G15&lt;=2,"Muy Baja",IF(G15&lt;=24,"Baja",IF(G15&lt;=500,"Media",IF(G15&lt;=5000,"Alta","Muy Alta")))))</f>
        <v/>
      </c>
      <c r="I15" s="206" t="str">
        <f>IF(H15="","",IF(H15="Muy Baja",0.2,IF(H15="Baja",0.4,IF(H15="Media",0.6,IF(H15="Alta",0.8,IF(H15="Muy Alta",1,))))))</f>
        <v/>
      </c>
      <c r="J15" s="209"/>
      <c r="K15" s="206">
        <f ca="1">IF(NOT(ISERROR(MATCH(J15,'Tabla Impacto'!$B$221:$B$223,0))),'Tabla Impacto'!$F$223&amp;"Por favor no seleccionar los criterios de impacto(Afectación Económica o presupuestal y Pérdida Reputacional)",J15)</f>
        <v>0</v>
      </c>
      <c r="L15" s="203" t="str">
        <f ca="1">IF(OR(K15='Tabla Impacto'!$C$11,K15='Tabla Impacto'!$D$11),"Leve",IF(OR(K15='Tabla Impacto'!$C$12,K15='Tabla Impacto'!$D$12),"Menor",IF(OR(K15='Tabla Impacto'!$C$13,K15='Tabla Impacto'!$D$13),"Moderado",IF(OR(K15='Tabla Impacto'!$C$14,K15='Tabla Impacto'!$D$14),"Mayor",IF(OR(K15='Tabla Impacto'!$C$15,K15='Tabla Impacto'!$D$15),"Catastrófico","")))))</f>
        <v/>
      </c>
      <c r="M15" s="206" t="str">
        <f ca="1">IF(L15="","",IF(L15="Leve",0.2,IF(L15="Menor",0.4,IF(L15="Moderado",0.6,IF(L15="Mayor",0.8,IF(L15="Catastrófico",1,))))))</f>
        <v/>
      </c>
      <c r="N15" s="197" t="str">
        <f ca="1">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
      </c>
      <c r="O15" s="123">
        <v>1</v>
      </c>
      <c r="P15" s="124"/>
      <c r="Q15" s="125" t="str">
        <f>IF(OR(R15="Preventivo",R15="Detectivo"),"Probabilidad",IF(R15="Correctivo","Impacto",""))</f>
        <v/>
      </c>
      <c r="R15" s="126"/>
      <c r="S15" s="126"/>
      <c r="T15" s="127" t="str">
        <f>IF(AND(R15="Preventivo",S15="Automático"),"50%",IF(AND(R15="Preventivo",S15="Manual"),"40%",IF(AND(R15="Detectivo",S15="Automático"),"40%",IF(AND(R15="Detectivo",S15="Manual"),"30%",IF(AND(R15="Correctivo",S15="Automático"),"35%",IF(AND(R15="Correctivo",S15="Manual"),"25%",""))))))</f>
        <v/>
      </c>
      <c r="U15" s="126"/>
      <c r="V15" s="126"/>
      <c r="W15" s="126"/>
      <c r="X15" s="128" t="str">
        <f>IFERROR(IF(Q15="Probabilidad",(I15-(+I15*T15)),IF(Q15="Impacto",I15,"")),"")</f>
        <v/>
      </c>
      <c r="Y15" s="129" t="str">
        <f>IFERROR(IF(X15="","",IF(X15&lt;=0.2,"Muy Baja",IF(X15&lt;=0.4,"Baja",IF(X15&lt;=0.6,"Media",IF(X15&lt;=0.8,"Alta","Muy Alta"))))),"")</f>
        <v/>
      </c>
      <c r="Z15" s="130" t="str">
        <f>+X15</f>
        <v/>
      </c>
      <c r="AA15" s="129" t="str">
        <f>IFERROR(IF(AB15="","",IF(AB15&lt;=0.2,"Leve",IF(AB15&lt;=0.4,"Menor",IF(AB15&lt;=0.6,"Moderado",IF(AB15&lt;=0.8,"Mayor","Catastrófico"))))),"")</f>
        <v/>
      </c>
      <c r="AB15" s="130" t="str">
        <f>IFERROR(IF(Q15="Impacto",(M15-(+M15*T15)),IF(Q15="Probabilidad",M15,"")),"")</f>
        <v/>
      </c>
      <c r="AC15" s="131" t="str">
        <f>IFERROR(IF(OR(AND(Y15="Muy Baja",AA15="Leve"),AND(Y15="Muy Baja",AA15="Menor"),AND(Y15="Baja",AA15="Leve")),"Bajo",IF(OR(AND(Y15="Muy baja",AA15="Moderado"),AND(Y15="Baja",AA15="Menor"),AND(Y15="Baja",AA15="Moderado"),AND(Y15="Media",AA15="Leve"),AND(Y15="Media",AA15="Menor"),AND(Y15="Media",AA15="Moderado"),AND(Y15="Alta",AA15="Leve"),AND(Y15="Alta",AA15="Menor")),"Moderado",IF(OR(AND(Y15="Muy Baja",AA15="Mayor"),AND(Y15="Baja",AA15="Mayor"),AND(Y15="Media",AA15="Mayor"),AND(Y15="Alta",AA15="Moderado"),AND(Y15="Alta",AA15="Mayor"),AND(Y15="Muy Alta",AA15="Leve"),AND(Y15="Muy Alta",AA15="Menor"),AND(Y15="Muy Alta",AA15="Moderado"),AND(Y15="Muy Alta",AA15="Mayor")),"Alto",IF(OR(AND(Y15="Muy Baja",AA15="Catastrófico"),AND(Y15="Baja",AA15="Catastrófico"),AND(Y15="Media",AA15="Catastrófico"),AND(Y15="Alta",AA15="Catastrófico"),AND(Y15="Muy Alta",AA15="Catastrófico")),"Extremo","")))),"")</f>
        <v/>
      </c>
      <c r="AD15" s="132"/>
      <c r="AE15" s="133"/>
      <c r="AF15" s="134"/>
      <c r="AG15" s="135"/>
      <c r="AH15" s="404"/>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3"/>
      <c r="B16" s="192"/>
      <c r="C16" s="192"/>
      <c r="D16" s="192"/>
      <c r="E16" s="216"/>
      <c r="F16" s="192"/>
      <c r="G16" s="195"/>
      <c r="H16" s="204"/>
      <c r="I16" s="207"/>
      <c r="J16" s="210"/>
      <c r="K16" s="207">
        <f t="shared" ref="K16:K20" ca="1" si="6">IF(NOT(ISERROR(MATCH(J16,_xlfn.ANCHORARRAY(E27),0))),I29&amp;"Por favor no seleccionar los criterios de impacto",J16)</f>
        <v>0</v>
      </c>
      <c r="L16" s="204"/>
      <c r="M16" s="207"/>
      <c r="N16" s="198"/>
      <c r="O16" s="123">
        <v>2</v>
      </c>
      <c r="P16" s="124"/>
      <c r="Q16" s="125" t="str">
        <f>IF(OR(R16="Preventivo",R16="Detectivo"),"Probabilidad",IF(R16="Correctivo","Impacto",""))</f>
        <v/>
      </c>
      <c r="R16" s="126"/>
      <c r="S16" s="126"/>
      <c r="T16" s="127" t="str">
        <f t="shared" ref="T16:T20" si="7">IF(AND(R16="Preventivo",S16="Automático"),"50%",IF(AND(R16="Preventivo",S16="Manual"),"40%",IF(AND(R16="Detectivo",S16="Automático"),"40%",IF(AND(R16="Detectivo",S16="Manual"),"30%",IF(AND(R16="Correctivo",S16="Automático"),"35%",IF(AND(R16="Correctivo",S16="Manual"),"25%",""))))))</f>
        <v/>
      </c>
      <c r="U16" s="126"/>
      <c r="V16" s="126"/>
      <c r="W16" s="126"/>
      <c r="X16" s="137" t="str">
        <f>IFERROR(IF(AND(Q15="Probabilidad",Q16="Probabilidad"),(Z15-(+Z15*T16)),IF(Q16="Probabilidad",(I15-(+I15*T16)),IF(Q16="Impacto",Z15,""))),"")</f>
        <v/>
      </c>
      <c r="Y16" s="129" t="str">
        <f t="shared" si="1"/>
        <v/>
      </c>
      <c r="Z16" s="130" t="str">
        <f t="shared" ref="Z16:Z20" si="8">+X16</f>
        <v/>
      </c>
      <c r="AA16" s="129" t="str">
        <f t="shared" si="3"/>
        <v/>
      </c>
      <c r="AB16" s="130" t="str">
        <f>IFERROR(IF(AND(Q15="Impacto",Q16="Impacto"),(AB14-(+AB14*T16)),IF(Q16="Impacto",($M$15-(+$M$15*T16)),IF(Q16="Probabilidad",AB14,""))),"")</f>
        <v/>
      </c>
      <c r="AC16" s="131" t="str">
        <f t="shared" ref="AC16:AC17" si="9">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192"/>
      <c r="E17" s="216"/>
      <c r="F17" s="192"/>
      <c r="G17" s="195"/>
      <c r="H17" s="204"/>
      <c r="I17" s="207"/>
      <c r="J17" s="210"/>
      <c r="K17" s="207">
        <f t="shared" ca="1" si="6"/>
        <v>0</v>
      </c>
      <c r="L17" s="204"/>
      <c r="M17" s="207"/>
      <c r="N17" s="198"/>
      <c r="O17" s="123">
        <v>3</v>
      </c>
      <c r="P17" s="136"/>
      <c r="Q17" s="125" t="str">
        <f>IF(OR(R17="Preventivo",R17="Detectivo"),"Probabilidad",IF(R17="Correctivo","Impacto",""))</f>
        <v/>
      </c>
      <c r="R17" s="126"/>
      <c r="S17" s="126"/>
      <c r="T17" s="127" t="str">
        <f t="shared" si="7"/>
        <v/>
      </c>
      <c r="U17" s="126"/>
      <c r="V17" s="126"/>
      <c r="W17" s="126"/>
      <c r="X17" s="128" t="str">
        <f>IFERROR(IF(AND(Q16="Probabilidad",Q17="Probabilidad"),(Z16-(+Z16*T17)),IF(AND(Q16="Impacto",Q17="Probabilidad"),(Z15-(+Z15*T17)),IF(Q17="Impacto",Z16,""))),"")</f>
        <v/>
      </c>
      <c r="Y17" s="129" t="str">
        <f t="shared" si="1"/>
        <v/>
      </c>
      <c r="Z17" s="130" t="str">
        <f t="shared" si="8"/>
        <v/>
      </c>
      <c r="AA17" s="129" t="str">
        <f t="shared" si="3"/>
        <v/>
      </c>
      <c r="AB17" s="130" t="str">
        <f>IFERROR(IF(AND(Q16="Impacto",Q17="Impacto"),(AB16-(+AB16*T17)),IF(AND(Q16="Probabilidad",Q17="Impacto"),(AB15-(+AB15*T17)),IF(Q17="Probabilidad",AB16,""))),"")</f>
        <v/>
      </c>
      <c r="AC17" s="131" t="str">
        <f t="shared" si="9"/>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192"/>
      <c r="E18" s="216"/>
      <c r="F18" s="192"/>
      <c r="G18" s="195"/>
      <c r="H18" s="204"/>
      <c r="I18" s="207"/>
      <c r="J18" s="210"/>
      <c r="K18" s="207">
        <f t="shared" ca="1" si="6"/>
        <v>0</v>
      </c>
      <c r="L18" s="204"/>
      <c r="M18" s="207"/>
      <c r="N18" s="198"/>
      <c r="O18" s="123">
        <v>4</v>
      </c>
      <c r="P18" s="124"/>
      <c r="Q18" s="125" t="str">
        <f t="shared" ref="Q18:Q20" si="10">IF(OR(R18="Preventivo",R18="Detectivo"),"Probabilidad",IF(R18="Correctivo","Impacto",""))</f>
        <v/>
      </c>
      <c r="R18" s="126"/>
      <c r="S18" s="126"/>
      <c r="T18" s="127" t="str">
        <f t="shared" si="7"/>
        <v/>
      </c>
      <c r="U18" s="126"/>
      <c r="V18" s="126"/>
      <c r="W18" s="126"/>
      <c r="X18" s="128" t="str">
        <f t="shared" ref="X18:X20" si="11">IFERROR(IF(AND(Q17="Probabilidad",Q18="Probabilidad"),(Z17-(+Z17*T18)),IF(AND(Q17="Impacto",Q18="Probabilidad"),(Z16-(+Z16*T18)),IF(Q18="Impacto",Z17,""))),"")</f>
        <v/>
      </c>
      <c r="Y18" s="129" t="str">
        <f t="shared" si="1"/>
        <v/>
      </c>
      <c r="Z18" s="130" t="str">
        <f t="shared" si="8"/>
        <v/>
      </c>
      <c r="AA18" s="129" t="str">
        <f t="shared" si="3"/>
        <v/>
      </c>
      <c r="AB18" s="130" t="str">
        <f t="shared" ref="AB18:AB20" si="12">IFERROR(IF(AND(Q17="Impacto",Q18="Impacto"),(AB17-(+AB17*T18)),IF(AND(Q17="Probabilidad",Q18="Impacto"),(AB16-(+AB16*T18)),IF(Q18="Probabilidad",AB17,""))),"")</f>
        <v/>
      </c>
      <c r="AC18" s="131" t="str">
        <f>IFERROR(IF(OR(AND(Y18="Muy Baja",AA18="Leve"),AND(Y18="Muy Baja",AA18="Menor"),AND(Y18="Baja",AA18="Leve")),"Bajo",IF(OR(AND(Y18="Muy baja",AA18="Moderado"),AND(Y18="Baja",AA18="Menor"),AND(Y18="Baja",AA18="Moderado"),AND(Y18="Media",AA18="Leve"),AND(Y18="Media",AA18="Menor"),AND(Y18="Media",AA18="Moderado"),AND(Y18="Alta",AA18="Leve"),AND(Y18="Alta",AA18="Menor")),"Moderado",IF(OR(AND(Y18="Muy Baja",AA18="Mayor"),AND(Y18="Baja",AA18="Mayor"),AND(Y18="Media",AA18="Mayor"),AND(Y18="Alta",AA18="Moderado"),AND(Y18="Alta",AA18="Mayor"),AND(Y18="Muy Alta",AA18="Leve"),AND(Y18="Muy Alta",AA18="Menor"),AND(Y18="Muy Alta",AA18="Moderado"),AND(Y18="Muy Alta",AA18="Mayor")),"Alto",IF(OR(AND(Y18="Muy Baja",AA18="Catastrófico"),AND(Y18="Baja",AA18="Catastrófico"),AND(Y18="Media",AA18="Catastrófico"),AND(Y18="Alta",AA18="Catastrófico"),AND(Y18="Muy Alta",AA18="Catastrófico")),"Extremo","")))),"")</f>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192"/>
      <c r="E19" s="216"/>
      <c r="F19" s="192"/>
      <c r="G19" s="195"/>
      <c r="H19" s="204"/>
      <c r="I19" s="207"/>
      <c r="J19" s="210"/>
      <c r="K19" s="207">
        <f t="shared" ca="1" si="6"/>
        <v>0</v>
      </c>
      <c r="L19" s="204"/>
      <c r="M19" s="207"/>
      <c r="N19" s="198"/>
      <c r="O19" s="123">
        <v>5</v>
      </c>
      <c r="P19" s="124"/>
      <c r="Q19" s="125" t="str">
        <f t="shared" si="10"/>
        <v/>
      </c>
      <c r="R19" s="126"/>
      <c r="S19" s="126"/>
      <c r="T19" s="127" t="str">
        <f t="shared" si="7"/>
        <v/>
      </c>
      <c r="U19" s="126"/>
      <c r="V19" s="126"/>
      <c r="W19" s="126"/>
      <c r="X19" s="128" t="str">
        <f t="shared" si="11"/>
        <v/>
      </c>
      <c r="Y19" s="129" t="str">
        <f t="shared" si="1"/>
        <v/>
      </c>
      <c r="Z19" s="130" t="str">
        <f t="shared" si="8"/>
        <v/>
      </c>
      <c r="AA19" s="129" t="str">
        <f t="shared" si="3"/>
        <v/>
      </c>
      <c r="AB19" s="130" t="str">
        <f t="shared" si="12"/>
        <v/>
      </c>
      <c r="AC19" s="131" t="str">
        <f t="shared" ref="AC19:AC20" si="13">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4"/>
      <c r="B20" s="193"/>
      <c r="C20" s="193"/>
      <c r="D20" s="193"/>
      <c r="E20" s="217"/>
      <c r="F20" s="193"/>
      <c r="G20" s="196"/>
      <c r="H20" s="205"/>
      <c r="I20" s="208"/>
      <c r="J20" s="211"/>
      <c r="K20" s="208">
        <f t="shared" ca="1" si="6"/>
        <v>0</v>
      </c>
      <c r="L20" s="205"/>
      <c r="M20" s="208"/>
      <c r="N20" s="199"/>
      <c r="O20" s="123">
        <v>6</v>
      </c>
      <c r="P20" s="124"/>
      <c r="Q20" s="125" t="str">
        <f t="shared" si="10"/>
        <v/>
      </c>
      <c r="R20" s="126"/>
      <c r="S20" s="126"/>
      <c r="T20" s="127" t="str">
        <f t="shared" si="7"/>
        <v/>
      </c>
      <c r="U20" s="126"/>
      <c r="V20" s="126"/>
      <c r="W20" s="126"/>
      <c r="X20" s="128" t="str">
        <f t="shared" si="11"/>
        <v/>
      </c>
      <c r="Y20" s="129" t="str">
        <f t="shared" si="1"/>
        <v/>
      </c>
      <c r="Z20" s="130" t="str">
        <f t="shared" si="8"/>
        <v/>
      </c>
      <c r="AA20" s="129" t="str">
        <f t="shared" si="3"/>
        <v/>
      </c>
      <c r="AB20" s="130" t="str">
        <f t="shared" si="12"/>
        <v/>
      </c>
      <c r="AC20" s="131" t="str">
        <f t="shared" si="13"/>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2">
        <v>4</v>
      </c>
      <c r="B21" s="191"/>
      <c r="C21" s="191"/>
      <c r="D21" s="191"/>
      <c r="E21" s="215"/>
      <c r="F21" s="191"/>
      <c r="G21" s="194"/>
      <c r="H21" s="203" t="str">
        <f>IF(G21&lt;=0,"",IF(G21&lt;=2,"Muy Baja",IF(G21&lt;=24,"Baja",IF(G21&lt;=500,"Media",IF(G21&lt;=5000,"Alta","Muy Alta")))))</f>
        <v/>
      </c>
      <c r="I21" s="206" t="str">
        <f>IF(H21="","",IF(H21="Muy Baja",0.2,IF(H21="Baja",0.4,IF(H21="Media",0.6,IF(H21="Alta",0.8,IF(H21="Muy Alta",1,))))))</f>
        <v/>
      </c>
      <c r="J21" s="209"/>
      <c r="K21" s="206">
        <f ca="1">IF(NOT(ISERROR(MATCH(J21,'Tabla Impacto'!$B$221:$B$223,0))),'Tabla Impacto'!$F$223&amp;"Por favor no seleccionar los criterios de impacto(Afectación Económica o presupuestal y Pérdida Reputacional)",J21)</f>
        <v>0</v>
      </c>
      <c r="L21" s="203" t="str">
        <f ca="1">IF(OR(K21='Tabla Impacto'!$C$11,K21='Tabla Impacto'!$D$11),"Leve",IF(OR(K21='Tabla Impacto'!$C$12,K21='Tabla Impacto'!$D$12),"Menor",IF(OR(K21='Tabla Impacto'!$C$13,K21='Tabla Impacto'!$D$13),"Moderado",IF(OR(K21='Tabla Impacto'!$C$14,K21='Tabla Impacto'!$D$14),"Mayor",IF(OR(K21='Tabla Impacto'!$C$15,K21='Tabla Impacto'!$D$15),"Catastrófico","")))))</f>
        <v/>
      </c>
      <c r="M21" s="206" t="str">
        <f ca="1">IF(L21="","",IF(L21="Leve",0.2,IF(L21="Menor",0.4,IF(L21="Moderado",0.6,IF(L21="Mayor",0.8,IF(L21="Catastrófico",1,))))))</f>
        <v/>
      </c>
      <c r="N21" s="197" t="str">
        <f ca="1">IF(OR(AND(H21="Muy Baja",L21="Leve"),AND(H21="Muy Baja",L21="Menor"),AND(H21="Baja",L21="Leve")),"Bajo",IF(OR(AND(H21="Muy baja",L21="Moderado"),AND(H21="Baja",L21="Menor"),AND(H21="Baja",L21="Moderado"),AND(H21="Media",L21="Leve"),AND(H21="Media",L21="Menor"),AND(H21="Media",L21="Moderado"),AND(H21="Alta",L21="Leve"),AND(H21="Alta",L21="Menor")),"Moderado",IF(OR(AND(H21="Muy Baja",L21="Mayor"),AND(H21="Baja",L21="Mayor"),AND(H21="Media",L21="Mayor"),AND(H21="Alta",L21="Moderado"),AND(H21="Alta",L21="Mayor"),AND(H21="Muy Alta",L21="Leve"),AND(H21="Muy Alta",L21="Menor"),AND(H21="Muy Alta",L21="Moderado"),AND(H21="Muy Alta",L21="Mayor")),"Alto",IF(OR(AND(H21="Muy Baja",L21="Catastrófico"),AND(H21="Baja",L21="Catastrófico"),AND(H21="Media",L21="Catastrófico"),AND(H21="Alta",L21="Catastrófico"),AND(H21="Muy Alta",L21="Catastrófico")),"Extremo",""))))</f>
        <v/>
      </c>
      <c r="O21" s="123">
        <v>1</v>
      </c>
      <c r="P21" s="124"/>
      <c r="Q21" s="125" t="str">
        <f>IF(OR(R21="Preventivo",R21="Detectivo"),"Probabilidad",IF(R21="Correctivo","Impacto",""))</f>
        <v/>
      </c>
      <c r="R21" s="126"/>
      <c r="S21" s="126"/>
      <c r="T21" s="127" t="str">
        <f>IF(AND(R21="Preventivo",S21="Automático"),"50%",IF(AND(R21="Preventivo",S21="Manual"),"40%",IF(AND(R21="Detectivo",S21="Automático"),"40%",IF(AND(R21="Detectivo",S21="Manual"),"30%",IF(AND(R21="Correctivo",S21="Automático"),"35%",IF(AND(R21="Correctivo",S21="Manual"),"25%",""))))))</f>
        <v/>
      </c>
      <c r="U21" s="126"/>
      <c r="V21" s="126"/>
      <c r="W21" s="126"/>
      <c r="X21" s="128" t="str">
        <f>IFERROR(IF(Q21="Probabilidad",(I21-(+I21*T21)),IF(Q21="Impacto",I21,"")),"")</f>
        <v/>
      </c>
      <c r="Y21" s="129" t="str">
        <f>IFERROR(IF(X21="","",IF(X21&lt;=0.2,"Muy Baja",IF(X21&lt;=0.4,"Baja",IF(X21&lt;=0.6,"Media",IF(X21&lt;=0.8,"Alta","Muy Alta"))))),"")</f>
        <v/>
      </c>
      <c r="Z21" s="130" t="str">
        <f>+X21</f>
        <v/>
      </c>
      <c r="AA21" s="129" t="str">
        <f>IFERROR(IF(AB21="","",IF(AB21&lt;=0.2,"Leve",IF(AB21&lt;=0.4,"Menor",IF(AB21&lt;=0.6,"Moderado",IF(AB21&lt;=0.8,"Mayor","Catastrófico"))))),"")</f>
        <v/>
      </c>
      <c r="AB21" s="130" t="str">
        <f>IFERROR(IF(Q21="Impacto",(M21-(+M21*T21)),IF(Q21="Probabilidad",M21,"")),"")</f>
        <v/>
      </c>
      <c r="AC21" s="131"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3"/>
      <c r="B22" s="192"/>
      <c r="C22" s="192"/>
      <c r="D22" s="192"/>
      <c r="E22" s="216"/>
      <c r="F22" s="192"/>
      <c r="G22" s="195"/>
      <c r="H22" s="204"/>
      <c r="I22" s="207"/>
      <c r="J22" s="210"/>
      <c r="K22" s="207">
        <f t="shared" ref="K22:K26" ca="1" si="14">IF(NOT(ISERROR(MATCH(J22,_xlfn.ANCHORARRAY(E33),0))),I35&amp;"Por favor no seleccionar los criterios de impacto",J22)</f>
        <v>0</v>
      </c>
      <c r="L22" s="204"/>
      <c r="M22" s="207"/>
      <c r="N22" s="198"/>
      <c r="O22" s="123">
        <v>2</v>
      </c>
      <c r="P22" s="124"/>
      <c r="Q22" s="125" t="str">
        <f>IF(OR(R22="Preventivo",R22="Detectivo"),"Probabilidad",IF(R22="Correctivo","Impacto",""))</f>
        <v/>
      </c>
      <c r="R22" s="126"/>
      <c r="S22" s="126"/>
      <c r="T22" s="127" t="str">
        <f t="shared" ref="T22:T26" si="15">IF(AND(R22="Preventivo",S22="Automático"),"50%",IF(AND(R22="Preventivo",S22="Manual"),"40%",IF(AND(R22="Detectivo",S22="Automático"),"40%",IF(AND(R22="Detectivo",S22="Manual"),"30%",IF(AND(R22="Correctivo",S22="Automático"),"35%",IF(AND(R22="Correctivo",S22="Manual"),"25%",""))))))</f>
        <v/>
      </c>
      <c r="U22" s="126"/>
      <c r="V22" s="126"/>
      <c r="W22" s="126"/>
      <c r="X22" s="128" t="str">
        <f>IFERROR(IF(AND(Q21="Probabilidad",Q22="Probabilidad"),(Z21-(+Z21*T22)),IF(Q22="Probabilidad",(I21-(+I21*T22)),IF(Q22="Impacto",Z21,""))),"")</f>
        <v/>
      </c>
      <c r="Y22" s="129" t="str">
        <f t="shared" si="1"/>
        <v/>
      </c>
      <c r="Z22" s="130" t="str">
        <f t="shared" ref="Z22:Z26" si="16">+X22</f>
        <v/>
      </c>
      <c r="AA22" s="129" t="str">
        <f t="shared" si="3"/>
        <v/>
      </c>
      <c r="AB22" s="130" t="str">
        <f>IFERROR(IF(AND(Q21="Impacto",Q22="Impacto"),(AB15-(+AB15*T22)),IF(Q22="Impacto",($M$21-(+$M$21*T22)),IF(Q22="Probabilidad",AB15,""))),"")</f>
        <v/>
      </c>
      <c r="AC22" s="131" t="str">
        <f t="shared" ref="AC22:AC23" si="17">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ca="1" si="14"/>
        <v>0</v>
      </c>
      <c r="L23" s="204"/>
      <c r="M23" s="207"/>
      <c r="N23" s="198"/>
      <c r="O23" s="123">
        <v>3</v>
      </c>
      <c r="P23" s="136"/>
      <c r="Q23" s="125" t="str">
        <f>IF(OR(R23="Preventivo",R23="Detectivo"),"Probabilidad",IF(R23="Correctivo","Impacto",""))</f>
        <v/>
      </c>
      <c r="R23" s="126"/>
      <c r="S23" s="126"/>
      <c r="T23" s="127" t="str">
        <f t="shared" si="15"/>
        <v/>
      </c>
      <c r="U23" s="126"/>
      <c r="V23" s="126"/>
      <c r="W23" s="126"/>
      <c r="X23" s="128" t="str">
        <f>IFERROR(IF(AND(Q22="Probabilidad",Q23="Probabilidad"),(Z22-(+Z22*T23)),IF(AND(Q22="Impacto",Q23="Probabilidad"),(Z21-(+Z21*T23)),IF(Q23="Impacto",Z22,""))),"")</f>
        <v/>
      </c>
      <c r="Y23" s="129" t="str">
        <f t="shared" si="1"/>
        <v/>
      </c>
      <c r="Z23" s="130" t="str">
        <f t="shared" si="16"/>
        <v/>
      </c>
      <c r="AA23" s="129" t="str">
        <f t="shared" si="3"/>
        <v/>
      </c>
      <c r="AB23" s="130" t="str">
        <f>IFERROR(IF(AND(Q22="Impacto",Q23="Impacto"),(AB22-(+AB22*T23)),IF(AND(Q22="Probabilidad",Q23="Impacto"),(AB21-(+AB21*T23)),IF(Q23="Probabilidad",AB22,""))),"")</f>
        <v/>
      </c>
      <c r="AC23" s="131" t="str">
        <f t="shared" si="17"/>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4"/>
        <v>0</v>
      </c>
      <c r="L24" s="204"/>
      <c r="M24" s="207"/>
      <c r="N24" s="198"/>
      <c r="O24" s="123">
        <v>4</v>
      </c>
      <c r="P24" s="124"/>
      <c r="Q24" s="125" t="str">
        <f t="shared" ref="Q24:Q26" si="18">IF(OR(R24="Preventivo",R24="Detectivo"),"Probabilidad",IF(R24="Correctivo","Impacto",""))</f>
        <v/>
      </c>
      <c r="R24" s="126"/>
      <c r="S24" s="126"/>
      <c r="T24" s="127" t="str">
        <f t="shared" si="15"/>
        <v/>
      </c>
      <c r="U24" s="126"/>
      <c r="V24" s="126"/>
      <c r="W24" s="126"/>
      <c r="X24" s="128" t="str">
        <f t="shared" ref="X24:X26" si="19">IFERROR(IF(AND(Q23="Probabilidad",Q24="Probabilidad"),(Z23-(+Z23*T24)),IF(AND(Q23="Impacto",Q24="Probabilidad"),(Z22-(+Z22*T24)),IF(Q24="Impacto",Z23,""))),"")</f>
        <v/>
      </c>
      <c r="Y24" s="129" t="str">
        <f t="shared" si="1"/>
        <v/>
      </c>
      <c r="Z24" s="130" t="str">
        <f t="shared" si="16"/>
        <v/>
      </c>
      <c r="AA24" s="129" t="str">
        <f t="shared" si="3"/>
        <v/>
      </c>
      <c r="AB24" s="130" t="str">
        <f t="shared" ref="AB24:AB26" si="20">IFERROR(IF(AND(Q23="Impacto",Q24="Impacto"),(AB23-(+AB23*T24)),IF(AND(Q23="Probabilidad",Q24="Impacto"),(AB22-(+AB22*T24)),IF(Q24="Probabilidad",AB23,""))),"")</f>
        <v/>
      </c>
      <c r="AC24" s="131" t="str">
        <f>IFERROR(IF(OR(AND(Y24="Muy Baja",AA24="Leve"),AND(Y24="Muy Baja",AA24="Menor"),AND(Y24="Baja",AA24="Leve")),"Bajo",IF(OR(AND(Y24="Muy baja",AA24="Moderado"),AND(Y24="Baja",AA24="Menor"),AND(Y24="Baja",AA24="Moderado"),AND(Y24="Media",AA24="Leve"),AND(Y24="Media",AA24="Menor"),AND(Y24="Media",AA24="Moderado"),AND(Y24="Alta",AA24="Leve"),AND(Y24="Alta",AA24="Menor")),"Moderado",IF(OR(AND(Y24="Muy Baja",AA24="Mayor"),AND(Y24="Baja",AA24="Mayor"),AND(Y24="Media",AA24="Mayor"),AND(Y24="Alta",AA24="Moderado"),AND(Y24="Alta",AA24="Mayor"),AND(Y24="Muy Alta",AA24="Leve"),AND(Y24="Muy Alta",AA24="Menor"),AND(Y24="Muy Alta",AA24="Moderado"),AND(Y24="Muy Alta",AA24="Mayor")),"Alto",IF(OR(AND(Y24="Muy Baja",AA24="Catastrófico"),AND(Y24="Baja",AA24="Catastrófico"),AND(Y24="Media",AA24="Catastrófico"),AND(Y24="Alta",AA24="Catastrófico"),AND(Y24="Muy Alta",AA24="Catastrófico")),"Extremo","")))),"")</f>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4"/>
        <v>0</v>
      </c>
      <c r="L25" s="204"/>
      <c r="M25" s="207"/>
      <c r="N25" s="198"/>
      <c r="O25" s="123">
        <v>5</v>
      </c>
      <c r="P25" s="124"/>
      <c r="Q25" s="125" t="str">
        <f t="shared" si="18"/>
        <v/>
      </c>
      <c r="R25" s="126"/>
      <c r="S25" s="126"/>
      <c r="T25" s="127" t="str">
        <f t="shared" si="15"/>
        <v/>
      </c>
      <c r="U25" s="126"/>
      <c r="V25" s="126"/>
      <c r="W25" s="126"/>
      <c r="X25" s="137" t="str">
        <f t="shared" si="19"/>
        <v/>
      </c>
      <c r="Y25" s="129" t="str">
        <f>IFERROR(IF(X25="","",IF(X25&lt;=0.2,"Muy Baja",IF(X25&lt;=0.4,"Baja",IF(X25&lt;=0.6,"Media",IF(X25&lt;=0.8,"Alta","Muy Alta"))))),"")</f>
        <v/>
      </c>
      <c r="Z25" s="130" t="str">
        <f t="shared" si="16"/>
        <v/>
      </c>
      <c r="AA25" s="129" t="str">
        <f t="shared" si="3"/>
        <v/>
      </c>
      <c r="AB25" s="130" t="str">
        <f t="shared" si="20"/>
        <v/>
      </c>
      <c r="AC25" s="131" t="str">
        <f t="shared" ref="AC25:AC26" si="21">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4"/>
      <c r="B26" s="193"/>
      <c r="C26" s="193"/>
      <c r="D26" s="193"/>
      <c r="E26" s="217"/>
      <c r="F26" s="193"/>
      <c r="G26" s="196"/>
      <c r="H26" s="205"/>
      <c r="I26" s="208"/>
      <c r="J26" s="211"/>
      <c r="K26" s="208">
        <f t="shared" ca="1" si="14"/>
        <v>0</v>
      </c>
      <c r="L26" s="205"/>
      <c r="M26" s="208"/>
      <c r="N26" s="199"/>
      <c r="O26" s="123">
        <v>6</v>
      </c>
      <c r="P26" s="124"/>
      <c r="Q26" s="125" t="str">
        <f t="shared" si="18"/>
        <v/>
      </c>
      <c r="R26" s="126"/>
      <c r="S26" s="126"/>
      <c r="T26" s="127" t="str">
        <f t="shared" si="15"/>
        <v/>
      </c>
      <c r="U26" s="126"/>
      <c r="V26" s="126"/>
      <c r="W26" s="126"/>
      <c r="X26" s="128" t="str">
        <f t="shared" si="19"/>
        <v/>
      </c>
      <c r="Y26" s="129" t="str">
        <f t="shared" si="1"/>
        <v/>
      </c>
      <c r="Z26" s="130" t="str">
        <f t="shared" si="16"/>
        <v/>
      </c>
      <c r="AA26" s="129" t="str">
        <f t="shared" si="3"/>
        <v/>
      </c>
      <c r="AB26" s="130" t="str">
        <f t="shared" si="20"/>
        <v/>
      </c>
      <c r="AC26" s="131" t="str">
        <f t="shared" si="21"/>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2">
        <v>5</v>
      </c>
      <c r="B27" s="191"/>
      <c r="C27" s="191"/>
      <c r="D27" s="191"/>
      <c r="E27" s="215"/>
      <c r="F27" s="191"/>
      <c r="G27" s="194"/>
      <c r="H27" s="203" t="str">
        <f>IF(G27&lt;=0,"",IF(G27&lt;=2,"Muy Baja",IF(G27&lt;=24,"Baja",IF(G27&lt;=500,"Media",IF(G27&lt;=5000,"Alta","Muy Alta")))))</f>
        <v/>
      </c>
      <c r="I27" s="206" t="str">
        <f>IF(H27="","",IF(H27="Muy Baja",0.2,IF(H27="Baja",0.4,IF(H27="Media",0.6,IF(H27="Alta",0.8,IF(H27="Muy Alta",1,))))))</f>
        <v/>
      </c>
      <c r="J27" s="209"/>
      <c r="K27" s="206">
        <f ca="1">IF(NOT(ISERROR(MATCH(J27,'Tabla Impacto'!$B$221:$B$223,0))),'Tabla Impacto'!$F$223&amp;"Por favor no seleccionar los criterios de impacto(Afectación Económica o presupuestal y Pérdida Reputacional)",J27)</f>
        <v>0</v>
      </c>
      <c r="L27" s="203" t="str">
        <f ca="1">IF(OR(K27='Tabla Impacto'!$C$11,K27='Tabla Impacto'!$D$11),"Leve",IF(OR(K27='Tabla Impacto'!$C$12,K27='Tabla Impacto'!$D$12),"Menor",IF(OR(K27='Tabla Impacto'!$C$13,K27='Tabla Impacto'!$D$13),"Moderado",IF(OR(K27='Tabla Impacto'!$C$14,K27='Tabla Impacto'!$D$14),"Mayor",IF(OR(K27='Tabla Impacto'!$C$15,K27='Tabla Impacto'!$D$15),"Catastrófico","")))))</f>
        <v/>
      </c>
      <c r="M27" s="206" t="str">
        <f ca="1">IF(L27="","",IF(L27="Leve",0.2,IF(L27="Menor",0.4,IF(L27="Moderado",0.6,IF(L27="Mayor",0.8,IF(L27="Catastrófico",1,))))))</f>
        <v/>
      </c>
      <c r="N27" s="197" t="str">
        <f ca="1">IF(OR(AND(H27="Muy Baja",L27="Leve"),AND(H27="Muy Baja",L27="Menor"),AND(H27="Baja",L27="Leve")),"Bajo",IF(OR(AND(H27="Muy baja",L27="Moderado"),AND(H27="Baja",L27="Menor"),AND(H27="Baja",L27="Moderado"),AND(H27="Media",L27="Leve"),AND(H27="Media",L27="Menor"),AND(H27="Media",L27="Moderado"),AND(H27="Alta",L27="Leve"),AND(H27="Alta",L27="Menor")),"Moderado",IF(OR(AND(H27="Muy Baja",L27="Mayor"),AND(H27="Baja",L27="Mayor"),AND(H27="Media",L27="Mayor"),AND(H27="Alta",L27="Moderado"),AND(H27="Alta",L27="Mayor"),AND(H27="Muy Alta",L27="Leve"),AND(H27="Muy Alta",L27="Menor"),AND(H27="Muy Alta",L27="Moderado"),AND(H27="Muy Alta",L27="Mayor")),"Alto",IF(OR(AND(H27="Muy Baja",L27="Catastrófico"),AND(H27="Baja",L27="Catastrófico"),AND(H27="Media",L27="Catastrófico"),AND(H27="Alta",L27="Catastrófico"),AND(H27="Muy Alta",L27="Catastrófico")),"Extremo",""))))</f>
        <v/>
      </c>
      <c r="O27" s="123">
        <v>1</v>
      </c>
      <c r="P27" s="124"/>
      <c r="Q27" s="125" t="str">
        <f>IF(OR(R27="Preventivo",R27="Detectivo"),"Probabilidad",IF(R27="Correctivo","Impacto",""))</f>
        <v/>
      </c>
      <c r="R27" s="126"/>
      <c r="S27" s="126"/>
      <c r="T27" s="127" t="str">
        <f>IF(AND(R27="Preventivo",S27="Automático"),"50%",IF(AND(R27="Preventivo",S27="Manual"),"40%",IF(AND(R27="Detectivo",S27="Automático"),"40%",IF(AND(R27="Detectivo",S27="Manual"),"30%",IF(AND(R27="Correctivo",S27="Automático"),"35%",IF(AND(R27="Correctivo",S27="Manual"),"25%",""))))))</f>
        <v/>
      </c>
      <c r="U27" s="126"/>
      <c r="V27" s="126"/>
      <c r="W27" s="126"/>
      <c r="X27" s="128" t="str">
        <f>IFERROR(IF(Q27="Probabilidad",(I27-(+I27*T27)),IF(Q27="Impacto",I27,"")),"")</f>
        <v/>
      </c>
      <c r="Y27" s="129" t="str">
        <f>IFERROR(IF(X27="","",IF(X27&lt;=0.2,"Muy Baja",IF(X27&lt;=0.4,"Baja",IF(X27&lt;=0.6,"Media",IF(X27&lt;=0.8,"Alta","Muy Alta"))))),"")</f>
        <v/>
      </c>
      <c r="Z27" s="130" t="str">
        <f>+X27</f>
        <v/>
      </c>
      <c r="AA27" s="129" t="str">
        <f>IFERROR(IF(AB27="","",IF(AB27&lt;=0.2,"Leve",IF(AB27&lt;=0.4,"Menor",IF(AB27&lt;=0.6,"Moderado",IF(AB27&lt;=0.8,"Mayor","Catastrófico"))))),"")</f>
        <v/>
      </c>
      <c r="AB27" s="130" t="str">
        <f>IFERROR(IF(Q27="Impacto",(M27-(+M27*T27)),IF(Q27="Probabilidad",M27,"")),"")</f>
        <v/>
      </c>
      <c r="AC27" s="131" t="str">
        <f>IFERROR(IF(OR(AND(Y27="Muy Baja",AA27="Leve"),AND(Y27="Muy Baja",AA27="Menor"),AND(Y27="Baja",AA27="Leve")),"Bajo",IF(OR(AND(Y27="Muy baja",AA27="Moderado"),AND(Y27="Baja",AA27="Menor"),AND(Y27="Baja",AA27="Moderado"),AND(Y27="Media",AA27="Leve"),AND(Y27="Media",AA27="Menor"),AND(Y27="Media",AA27="Moderado"),AND(Y27="Alta",AA27="Leve"),AND(Y27="Alta",AA27="Menor")),"Moderado",IF(OR(AND(Y27="Muy Baja",AA27="Mayor"),AND(Y27="Baja",AA27="Mayor"),AND(Y27="Media",AA27="Mayor"),AND(Y27="Alta",AA27="Moderado"),AND(Y27="Alta",AA27="Mayor"),AND(Y27="Muy Alta",AA27="Leve"),AND(Y27="Muy Alta",AA27="Menor"),AND(Y27="Muy Alta",AA27="Moderado"),AND(Y27="Muy Alta",AA27="Mayor")),"Alto",IF(OR(AND(Y27="Muy Baja",AA27="Catastrófico"),AND(Y27="Baja",AA27="Catastrófico"),AND(Y27="Media",AA27="Catastrófico"),AND(Y27="Alta",AA27="Catastrófico"),AND(Y27="Muy Alta",AA27="Catastrófico")),"Extremo","")))),"")</f>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3"/>
      <c r="B28" s="192"/>
      <c r="C28" s="192"/>
      <c r="D28" s="192"/>
      <c r="E28" s="216"/>
      <c r="F28" s="192"/>
      <c r="G28" s="195"/>
      <c r="H28" s="204"/>
      <c r="I28" s="207"/>
      <c r="J28" s="210"/>
      <c r="K28" s="207">
        <f t="shared" ref="K28:K32" ca="1" si="22">IF(NOT(ISERROR(MATCH(J28,_xlfn.ANCHORARRAY(E39),0))),I41&amp;"Por favor no seleccionar los criterios de impacto",J28)</f>
        <v>0</v>
      </c>
      <c r="L28" s="204"/>
      <c r="M28" s="207"/>
      <c r="N28" s="198"/>
      <c r="O28" s="123">
        <v>2</v>
      </c>
      <c r="P28" s="124"/>
      <c r="Q28" s="125" t="str">
        <f>IF(OR(R28="Preventivo",R28="Detectivo"),"Probabilidad",IF(R28="Correctivo","Impacto",""))</f>
        <v/>
      </c>
      <c r="R28" s="126"/>
      <c r="S28" s="126"/>
      <c r="T28" s="127" t="str">
        <f t="shared" ref="T28:T32" si="23">IF(AND(R28="Preventivo",S28="Automático"),"50%",IF(AND(R28="Preventivo",S28="Manual"),"40%",IF(AND(R28="Detectivo",S28="Automático"),"40%",IF(AND(R28="Detectivo",S28="Manual"),"30%",IF(AND(R28="Correctivo",S28="Automático"),"35%",IF(AND(R28="Correctivo",S28="Manual"),"25%",""))))))</f>
        <v/>
      </c>
      <c r="U28" s="126"/>
      <c r="V28" s="126"/>
      <c r="W28" s="126"/>
      <c r="X28" s="128" t="str">
        <f>IFERROR(IF(AND(Q27="Probabilidad",Q28="Probabilidad"),(Z27-(+Z27*T28)),IF(Q28="Probabilidad",(I27-(+I27*T28)),IF(Q28="Impacto",Z27,""))),"")</f>
        <v/>
      </c>
      <c r="Y28" s="129" t="str">
        <f t="shared" si="1"/>
        <v/>
      </c>
      <c r="Z28" s="130" t="str">
        <f t="shared" ref="Z28:Z32" si="24">+X28</f>
        <v/>
      </c>
      <c r="AA28" s="129" t="str">
        <f t="shared" si="3"/>
        <v/>
      </c>
      <c r="AB28" s="130" t="str">
        <f>IFERROR(IF(AND(Q27="Impacto",Q28="Impacto"),(AB21-(+AB21*T28)),IF(Q28="Impacto",($M$27-(+$M$27*T28)),IF(Q28="Probabilidad",AB21,""))),"")</f>
        <v/>
      </c>
      <c r="AC28" s="131" t="str">
        <f t="shared" ref="AC28:AC29" si="25">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ca="1" si="22"/>
        <v>0</v>
      </c>
      <c r="L29" s="204"/>
      <c r="M29" s="207"/>
      <c r="N29" s="198"/>
      <c r="O29" s="123">
        <v>3</v>
      </c>
      <c r="P29" s="136"/>
      <c r="Q29" s="125" t="str">
        <f>IF(OR(R29="Preventivo",R29="Detectivo"),"Probabilidad",IF(R29="Correctivo","Impacto",""))</f>
        <v/>
      </c>
      <c r="R29" s="126"/>
      <c r="S29" s="126"/>
      <c r="T29" s="127" t="str">
        <f t="shared" si="23"/>
        <v/>
      </c>
      <c r="U29" s="126"/>
      <c r="V29" s="126"/>
      <c r="W29" s="126"/>
      <c r="X29" s="128" t="str">
        <f>IFERROR(IF(AND(Q28="Probabilidad",Q29="Probabilidad"),(Z28-(+Z28*T29)),IF(AND(Q28="Impacto",Q29="Probabilidad"),(Z27-(+Z27*T29)),IF(Q29="Impacto",Z28,""))),"")</f>
        <v/>
      </c>
      <c r="Y29" s="129" t="str">
        <f t="shared" si="1"/>
        <v/>
      </c>
      <c r="Z29" s="130" t="str">
        <f t="shared" si="24"/>
        <v/>
      </c>
      <c r="AA29" s="129" t="str">
        <f t="shared" si="3"/>
        <v/>
      </c>
      <c r="AB29" s="130" t="str">
        <f>IFERROR(IF(AND(Q28="Impacto",Q29="Impacto"),(AB28-(+AB28*T29)),IF(AND(Q28="Probabilidad",Q29="Impacto"),(AB27-(+AB27*T29)),IF(Q29="Probabilidad",AB28,""))),"")</f>
        <v/>
      </c>
      <c r="AC29" s="131" t="str">
        <f t="shared" si="25"/>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2"/>
        <v>0</v>
      </c>
      <c r="L30" s="204"/>
      <c r="M30" s="207"/>
      <c r="N30" s="198"/>
      <c r="O30" s="123">
        <v>4</v>
      </c>
      <c r="P30" s="124"/>
      <c r="Q30" s="125" t="str">
        <f t="shared" ref="Q30:Q32" si="26">IF(OR(R30="Preventivo",R30="Detectivo"),"Probabilidad",IF(R30="Correctivo","Impacto",""))</f>
        <v/>
      </c>
      <c r="R30" s="126"/>
      <c r="S30" s="126"/>
      <c r="T30" s="127" t="str">
        <f t="shared" si="23"/>
        <v/>
      </c>
      <c r="U30" s="126"/>
      <c r="V30" s="126"/>
      <c r="W30" s="126"/>
      <c r="X30" s="128" t="str">
        <f t="shared" ref="X30:X32" si="27">IFERROR(IF(AND(Q29="Probabilidad",Q30="Probabilidad"),(Z29-(+Z29*T30)),IF(AND(Q29="Impacto",Q30="Probabilidad"),(Z28-(+Z28*T30)),IF(Q30="Impacto",Z29,""))),"")</f>
        <v/>
      </c>
      <c r="Y30" s="129" t="str">
        <f t="shared" si="1"/>
        <v/>
      </c>
      <c r="Z30" s="130" t="str">
        <f t="shared" si="24"/>
        <v/>
      </c>
      <c r="AA30" s="129" t="str">
        <f t="shared" si="3"/>
        <v/>
      </c>
      <c r="AB30" s="130" t="str">
        <f t="shared" ref="AB30:AB32" si="28">IFERROR(IF(AND(Q29="Impacto",Q30="Impacto"),(AB29-(+AB29*T30)),IF(AND(Q29="Probabilidad",Q30="Impacto"),(AB28-(+AB28*T30)),IF(Q30="Probabilidad",AB29,""))),"")</f>
        <v/>
      </c>
      <c r="AC30" s="131"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2"/>
        <v>0</v>
      </c>
      <c r="L31" s="204"/>
      <c r="M31" s="207"/>
      <c r="N31" s="198"/>
      <c r="O31" s="123">
        <v>5</v>
      </c>
      <c r="P31" s="124"/>
      <c r="Q31" s="125" t="str">
        <f t="shared" si="26"/>
        <v/>
      </c>
      <c r="R31" s="126"/>
      <c r="S31" s="126"/>
      <c r="T31" s="127" t="str">
        <f t="shared" si="23"/>
        <v/>
      </c>
      <c r="U31" s="126"/>
      <c r="V31" s="126"/>
      <c r="W31" s="126"/>
      <c r="X31" s="128" t="str">
        <f t="shared" si="27"/>
        <v/>
      </c>
      <c r="Y31" s="129" t="str">
        <f t="shared" si="1"/>
        <v/>
      </c>
      <c r="Z31" s="130" t="str">
        <f t="shared" si="24"/>
        <v/>
      </c>
      <c r="AA31" s="129" t="str">
        <f t="shared" si="3"/>
        <v/>
      </c>
      <c r="AB31" s="130" t="str">
        <f t="shared" si="28"/>
        <v/>
      </c>
      <c r="AC31" s="131" t="str">
        <f t="shared" ref="AC31:AC32" si="29">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4"/>
      <c r="B32" s="193"/>
      <c r="C32" s="193"/>
      <c r="D32" s="193"/>
      <c r="E32" s="217"/>
      <c r="F32" s="193"/>
      <c r="G32" s="196"/>
      <c r="H32" s="205"/>
      <c r="I32" s="208"/>
      <c r="J32" s="211"/>
      <c r="K32" s="208">
        <f t="shared" ca="1" si="22"/>
        <v>0</v>
      </c>
      <c r="L32" s="205"/>
      <c r="M32" s="208"/>
      <c r="N32" s="199"/>
      <c r="O32" s="123">
        <v>6</v>
      </c>
      <c r="P32" s="124"/>
      <c r="Q32" s="125" t="str">
        <f t="shared" si="26"/>
        <v/>
      </c>
      <c r="R32" s="126"/>
      <c r="S32" s="126"/>
      <c r="T32" s="127" t="str">
        <f t="shared" si="23"/>
        <v/>
      </c>
      <c r="U32" s="126"/>
      <c r="V32" s="126"/>
      <c r="W32" s="126"/>
      <c r="X32" s="128" t="str">
        <f t="shared" si="27"/>
        <v/>
      </c>
      <c r="Y32" s="129" t="str">
        <f t="shared" si="1"/>
        <v/>
      </c>
      <c r="Z32" s="130" t="str">
        <f t="shared" si="24"/>
        <v/>
      </c>
      <c r="AA32" s="129" t="str">
        <f t="shared" si="3"/>
        <v/>
      </c>
      <c r="AB32" s="130" t="str">
        <f t="shared" si="28"/>
        <v/>
      </c>
      <c r="AC32" s="131" t="str">
        <f t="shared" si="29"/>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2">
        <v>6</v>
      </c>
      <c r="B33" s="191"/>
      <c r="C33" s="191"/>
      <c r="D33" s="191"/>
      <c r="E33" s="215"/>
      <c r="F33" s="191"/>
      <c r="G33" s="194"/>
      <c r="H33" s="203" t="str">
        <f>IF(G33&lt;=0,"",IF(G33&lt;=2,"Muy Baja",IF(G33&lt;=24,"Baja",IF(G33&lt;=500,"Media",IF(G33&lt;=5000,"Alta","Muy Alta")))))</f>
        <v/>
      </c>
      <c r="I33" s="206" t="str">
        <f>IF(H33="","",IF(H33="Muy Baja",0.2,IF(H33="Baja",0.4,IF(H33="Media",0.6,IF(H33="Alta",0.8,IF(H33="Muy Alta",1,))))))</f>
        <v/>
      </c>
      <c r="J33" s="209"/>
      <c r="K33" s="206">
        <f ca="1">IF(NOT(ISERROR(MATCH(J33,'Tabla Impacto'!$B$221:$B$223,0))),'Tabla Impacto'!$F$223&amp;"Por favor no seleccionar los criterios de impacto(Afectación Económica o presupuestal y Pérdida Reputacional)",J33)</f>
        <v>0</v>
      </c>
      <c r="L33" s="203" t="str">
        <f ca="1">IF(OR(K33='Tabla Impacto'!$C$11,K33='Tabla Impacto'!$D$11),"Leve",IF(OR(K33='Tabla Impacto'!$C$12,K33='Tabla Impacto'!$D$12),"Menor",IF(OR(K33='Tabla Impacto'!$C$13,K33='Tabla Impacto'!$D$13),"Moderado",IF(OR(K33='Tabla Impacto'!$C$14,K33='Tabla Impacto'!$D$14),"Mayor",IF(OR(K33='Tabla Impacto'!$C$15,K33='Tabla Impacto'!$D$15),"Catastrófico","")))))</f>
        <v/>
      </c>
      <c r="M33" s="206" t="str">
        <f ca="1">IF(L33="","",IF(L33="Leve",0.2,IF(L33="Menor",0.4,IF(L33="Moderado",0.6,IF(L33="Mayor",0.8,IF(L33="Catastrófico",1,))))))</f>
        <v/>
      </c>
      <c r="N33" s="197" t="str">
        <f ca="1">IF(OR(AND(H33="Muy Baja",L33="Leve"),AND(H33="Muy Baja",L33="Menor"),AND(H33="Baja",L33="Leve")),"Bajo",IF(OR(AND(H33="Muy baja",L33="Moderado"),AND(H33="Baja",L33="Menor"),AND(H33="Baja",L33="Moderado"),AND(H33="Media",L33="Leve"),AND(H33="Media",L33="Menor"),AND(H33="Media",L33="Moderado"),AND(H33="Alta",L33="Leve"),AND(H33="Alta",L33="Menor")),"Moderado",IF(OR(AND(H33="Muy Baja",L33="Mayor"),AND(H33="Baja",L33="Mayor"),AND(H33="Media",L33="Mayor"),AND(H33="Alta",L33="Moderado"),AND(H33="Alta",L33="Mayor"),AND(H33="Muy Alta",L33="Leve"),AND(H33="Muy Alta",L33="Menor"),AND(H33="Muy Alta",L33="Moderado"),AND(H33="Muy Alta",L33="Mayor")),"Alto",IF(OR(AND(H33="Muy Baja",L33="Catastrófico"),AND(H33="Baja",L33="Catastrófico"),AND(H33="Media",L33="Catastrófico"),AND(H33="Alta",L33="Catastrófico"),AND(H33="Muy Alta",L33="Catastrófico")),"Extremo",""))))</f>
        <v/>
      </c>
      <c r="O33" s="123">
        <v>1</v>
      </c>
      <c r="P33" s="124"/>
      <c r="Q33" s="125" t="str">
        <f>IF(OR(R33="Preventivo",R33="Detectivo"),"Probabilidad",IF(R33="Correctivo","Impacto",""))</f>
        <v/>
      </c>
      <c r="R33" s="126"/>
      <c r="S33" s="126"/>
      <c r="T33" s="127" t="str">
        <f>IF(AND(R33="Preventivo",S33="Automático"),"50%",IF(AND(R33="Preventivo",S33="Manual"),"40%",IF(AND(R33="Detectivo",S33="Automático"),"40%",IF(AND(R33="Detectivo",S33="Manual"),"30%",IF(AND(R33="Correctivo",S33="Automático"),"35%",IF(AND(R33="Correctivo",S33="Manual"),"25%",""))))))</f>
        <v/>
      </c>
      <c r="U33" s="126"/>
      <c r="V33" s="126"/>
      <c r="W33" s="126"/>
      <c r="X33" s="128" t="str">
        <f>IFERROR(IF(Q33="Probabilidad",(I33-(+I33*T33)),IF(Q33="Impacto",I33,"")),"")</f>
        <v/>
      </c>
      <c r="Y33" s="129" t="str">
        <f>IFERROR(IF(X33="","",IF(X33&lt;=0.2,"Muy Baja",IF(X33&lt;=0.4,"Baja",IF(X33&lt;=0.6,"Media",IF(X33&lt;=0.8,"Alta","Muy Alta"))))),"")</f>
        <v/>
      </c>
      <c r="Z33" s="130" t="str">
        <f>+X33</f>
        <v/>
      </c>
      <c r="AA33" s="129" t="str">
        <f>IFERROR(IF(AB33="","",IF(AB33&lt;=0.2,"Leve",IF(AB33&lt;=0.4,"Menor",IF(AB33&lt;=0.6,"Moderado",IF(AB33&lt;=0.8,"Mayor","Catastrófico"))))),"")</f>
        <v/>
      </c>
      <c r="AB33" s="130" t="str">
        <f>IFERROR(IF(Q33="Impacto",(M33-(+M33*T33)),IF(Q33="Probabilidad",M33,"")),"")</f>
        <v/>
      </c>
      <c r="AC33" s="131" t="str">
        <f>IFERROR(IF(OR(AND(Y33="Muy Baja",AA33="Leve"),AND(Y33="Muy Baja",AA33="Menor"),AND(Y33="Baja",AA33="Leve")),"Bajo",IF(OR(AND(Y33="Muy baja",AA33="Moderado"),AND(Y33="Baja",AA33="Menor"),AND(Y33="Baja",AA33="Moderado"),AND(Y33="Media",AA33="Leve"),AND(Y33="Media",AA33="Menor"),AND(Y33="Media",AA33="Moderado"),AND(Y33="Alta",AA33="Leve"),AND(Y33="Alta",AA33="Menor")),"Moderado",IF(OR(AND(Y33="Muy Baja",AA33="Mayor"),AND(Y33="Baja",AA33="Mayor"),AND(Y33="Media",AA33="Mayor"),AND(Y33="Alta",AA33="Moderado"),AND(Y33="Alta",AA33="Mayor"),AND(Y33="Muy Alta",AA33="Leve"),AND(Y33="Muy Alta",AA33="Menor"),AND(Y33="Muy Alta",AA33="Moderado"),AND(Y33="Muy Alta",AA33="Mayor")),"Alto",IF(OR(AND(Y33="Muy Baja",AA33="Catastrófico"),AND(Y33="Baja",AA33="Catastrófico"),AND(Y33="Media",AA33="Catastrófico"),AND(Y33="Alta",AA33="Catastrófico"),AND(Y33="Muy Alta",AA33="Catastrófico")),"Extremo","")))),"")</f>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3"/>
      <c r="B34" s="192"/>
      <c r="C34" s="192"/>
      <c r="D34" s="192"/>
      <c r="E34" s="216"/>
      <c r="F34" s="192"/>
      <c r="G34" s="195"/>
      <c r="H34" s="204"/>
      <c r="I34" s="207"/>
      <c r="J34" s="210"/>
      <c r="K34" s="207">
        <f t="shared" ref="K34:K38" ca="1" si="30">IF(NOT(ISERROR(MATCH(J34,_xlfn.ANCHORARRAY(E45),0))),I47&amp;"Por favor no seleccionar los criterios de impacto",J34)</f>
        <v>0</v>
      </c>
      <c r="L34" s="204"/>
      <c r="M34" s="207"/>
      <c r="N34" s="198"/>
      <c r="O34" s="123">
        <v>2</v>
      </c>
      <c r="P34" s="124"/>
      <c r="Q34" s="125" t="str">
        <f>IF(OR(R34="Preventivo",R34="Detectivo"),"Probabilidad",IF(R34="Correctivo","Impacto",""))</f>
        <v/>
      </c>
      <c r="R34" s="126"/>
      <c r="S34" s="126"/>
      <c r="T34" s="127" t="str">
        <f t="shared" ref="T34:T38" si="31">IF(AND(R34="Preventivo",S34="Automático"),"50%",IF(AND(R34="Preventivo",S34="Manual"),"40%",IF(AND(R34="Detectivo",S34="Automático"),"40%",IF(AND(R34="Detectivo",S34="Manual"),"30%",IF(AND(R34="Correctivo",S34="Automático"),"35%",IF(AND(R34="Correctivo",S34="Manual"),"25%",""))))))</f>
        <v/>
      </c>
      <c r="U34" s="126"/>
      <c r="V34" s="126"/>
      <c r="W34" s="126"/>
      <c r="X34" s="128" t="str">
        <f>IFERROR(IF(AND(Q33="Probabilidad",Q34="Probabilidad"),(Z33-(+Z33*T34)),IF(Q34="Probabilidad",(I33-(+I33*T34)),IF(Q34="Impacto",Z33,""))),"")</f>
        <v/>
      </c>
      <c r="Y34" s="129" t="str">
        <f t="shared" si="1"/>
        <v/>
      </c>
      <c r="Z34" s="130" t="str">
        <f t="shared" ref="Z34:Z38" si="32">+X34</f>
        <v/>
      </c>
      <c r="AA34" s="129" t="str">
        <f t="shared" si="3"/>
        <v/>
      </c>
      <c r="AB34" s="130" t="str">
        <f>IFERROR(IF(AND(Q33="Impacto",Q34="Impacto"),(AB27-(+AB27*T34)),IF(Q34="Impacto",($M$33-(+$M$33*T34)),IF(Q34="Probabilidad",AB27,""))),"")</f>
        <v/>
      </c>
      <c r="AC34" s="131" t="str">
        <f t="shared" ref="AC34:AC35" si="33">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ca="1" si="30"/>
        <v>0</v>
      </c>
      <c r="L35" s="204"/>
      <c r="M35" s="207"/>
      <c r="N35" s="198"/>
      <c r="O35" s="123">
        <v>3</v>
      </c>
      <c r="P35" s="136"/>
      <c r="Q35" s="125" t="str">
        <f>IF(OR(R35="Preventivo",R35="Detectivo"),"Probabilidad",IF(R35="Correctivo","Impacto",""))</f>
        <v/>
      </c>
      <c r="R35" s="126"/>
      <c r="S35" s="126"/>
      <c r="T35" s="127" t="str">
        <f t="shared" si="31"/>
        <v/>
      </c>
      <c r="U35" s="126"/>
      <c r="V35" s="126"/>
      <c r="W35" s="126"/>
      <c r="X35" s="128" t="str">
        <f>IFERROR(IF(AND(Q34="Probabilidad",Q35="Probabilidad"),(Z34-(+Z34*T35)),IF(AND(Q34="Impacto",Q35="Probabilidad"),(Z33-(+Z33*T35)),IF(Q35="Impacto",Z34,""))),"")</f>
        <v/>
      </c>
      <c r="Y35" s="129" t="str">
        <f t="shared" si="1"/>
        <v/>
      </c>
      <c r="Z35" s="130" t="str">
        <f t="shared" si="32"/>
        <v/>
      </c>
      <c r="AA35" s="129" t="str">
        <f t="shared" si="3"/>
        <v/>
      </c>
      <c r="AB35" s="130" t="str">
        <f>IFERROR(IF(AND(Q34="Impacto",Q35="Impacto"),(AB34-(+AB34*T35)),IF(AND(Q34="Probabilidad",Q35="Impacto"),(AB33-(+AB33*T35)),IF(Q35="Probabilidad",AB34,""))),"")</f>
        <v/>
      </c>
      <c r="AC35" s="131" t="str">
        <f t="shared" si="33"/>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0"/>
        <v>0</v>
      </c>
      <c r="L36" s="204"/>
      <c r="M36" s="207"/>
      <c r="N36" s="198"/>
      <c r="O36" s="123">
        <v>4</v>
      </c>
      <c r="P36" s="124"/>
      <c r="Q36" s="125" t="str">
        <f t="shared" ref="Q36:Q38" si="34">IF(OR(R36="Preventivo",R36="Detectivo"),"Probabilidad",IF(R36="Correctivo","Impacto",""))</f>
        <v/>
      </c>
      <c r="R36" s="126"/>
      <c r="S36" s="126"/>
      <c r="T36" s="127" t="str">
        <f t="shared" si="31"/>
        <v/>
      </c>
      <c r="U36" s="126"/>
      <c r="V36" s="126"/>
      <c r="W36" s="126"/>
      <c r="X36" s="128" t="str">
        <f t="shared" ref="X36:X38" si="35">IFERROR(IF(AND(Q35="Probabilidad",Q36="Probabilidad"),(Z35-(+Z35*T36)),IF(AND(Q35="Impacto",Q36="Probabilidad"),(Z34-(+Z34*T36)),IF(Q36="Impacto",Z35,""))),"")</f>
        <v/>
      </c>
      <c r="Y36" s="129" t="str">
        <f t="shared" si="1"/>
        <v/>
      </c>
      <c r="Z36" s="130" t="str">
        <f t="shared" si="32"/>
        <v/>
      </c>
      <c r="AA36" s="129" t="str">
        <f t="shared" si="3"/>
        <v/>
      </c>
      <c r="AB36" s="130" t="str">
        <f t="shared" ref="AB36:AB38" si="36">IFERROR(IF(AND(Q35="Impacto",Q36="Impacto"),(AB35-(+AB35*T36)),IF(AND(Q35="Probabilidad",Q36="Impacto"),(AB34-(+AB34*T36)),IF(Q36="Probabilidad",AB35,""))),"")</f>
        <v/>
      </c>
      <c r="AC36" s="131" t="str">
        <f>IFERROR(IF(OR(AND(Y36="Muy Baja",AA36="Leve"),AND(Y36="Muy Baja",AA36="Menor"),AND(Y36="Baja",AA36="Leve")),"Bajo",IF(OR(AND(Y36="Muy baja",AA36="Moderado"),AND(Y36="Baja",AA36="Menor"),AND(Y36="Baja",AA36="Moderado"),AND(Y36="Media",AA36="Leve"),AND(Y36="Media",AA36="Menor"),AND(Y36="Media",AA36="Moderado"),AND(Y36="Alta",AA36="Leve"),AND(Y36="Alta",AA36="Menor")),"Moderado",IF(OR(AND(Y36="Muy Baja",AA36="Mayor"),AND(Y36="Baja",AA36="Mayor"),AND(Y36="Media",AA36="Mayor"),AND(Y36="Alta",AA36="Moderado"),AND(Y36="Alta",AA36="Mayor"),AND(Y36="Muy Alta",AA36="Leve"),AND(Y36="Muy Alta",AA36="Menor"),AND(Y36="Muy Alta",AA36="Moderado"),AND(Y36="Muy Alta",AA36="Mayor")),"Alto",IF(OR(AND(Y36="Muy Baja",AA36="Catastrófico"),AND(Y36="Baja",AA36="Catastrófico"),AND(Y36="Media",AA36="Catastrófico"),AND(Y36="Alta",AA36="Catastrófico"),AND(Y36="Muy Alta",AA36="Catastrófico")),"Extremo","")))),"")</f>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0"/>
        <v>0</v>
      </c>
      <c r="L37" s="204"/>
      <c r="M37" s="207"/>
      <c r="N37" s="198"/>
      <c r="O37" s="123">
        <v>5</v>
      </c>
      <c r="P37" s="124"/>
      <c r="Q37" s="125" t="str">
        <f t="shared" si="34"/>
        <v/>
      </c>
      <c r="R37" s="126"/>
      <c r="S37" s="126"/>
      <c r="T37" s="127" t="str">
        <f t="shared" si="31"/>
        <v/>
      </c>
      <c r="U37" s="126"/>
      <c r="V37" s="126"/>
      <c r="W37" s="126"/>
      <c r="X37" s="128" t="str">
        <f t="shared" si="35"/>
        <v/>
      </c>
      <c r="Y37" s="129" t="str">
        <f t="shared" si="1"/>
        <v/>
      </c>
      <c r="Z37" s="130" t="str">
        <f t="shared" si="32"/>
        <v/>
      </c>
      <c r="AA37" s="129" t="str">
        <f t="shared" si="3"/>
        <v/>
      </c>
      <c r="AB37" s="130" t="str">
        <f t="shared" si="36"/>
        <v/>
      </c>
      <c r="AC37" s="131" t="str">
        <f t="shared" ref="AC37" si="37">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4"/>
      <c r="B38" s="193"/>
      <c r="C38" s="193"/>
      <c r="D38" s="193"/>
      <c r="E38" s="217"/>
      <c r="F38" s="193"/>
      <c r="G38" s="196"/>
      <c r="H38" s="205"/>
      <c r="I38" s="208"/>
      <c r="J38" s="211"/>
      <c r="K38" s="208">
        <f t="shared" ca="1" si="30"/>
        <v>0</v>
      </c>
      <c r="L38" s="205"/>
      <c r="M38" s="208"/>
      <c r="N38" s="199"/>
      <c r="O38" s="123">
        <v>6</v>
      </c>
      <c r="P38" s="124"/>
      <c r="Q38" s="125" t="str">
        <f t="shared" si="34"/>
        <v/>
      </c>
      <c r="R38" s="126"/>
      <c r="S38" s="126"/>
      <c r="T38" s="127" t="str">
        <f t="shared" si="31"/>
        <v/>
      </c>
      <c r="U38" s="126"/>
      <c r="V38" s="126"/>
      <c r="W38" s="126"/>
      <c r="X38" s="128" t="str">
        <f t="shared" si="35"/>
        <v/>
      </c>
      <c r="Y38" s="129" t="str">
        <f t="shared" si="1"/>
        <v/>
      </c>
      <c r="Z38" s="130" t="str">
        <f t="shared" si="32"/>
        <v/>
      </c>
      <c r="AA38" s="129" t="str">
        <f>IFERROR(IF(AB38="","",IF(AB38&lt;=0.2,"Leve",IF(AB38&lt;=0.4,"Menor",IF(AB38&lt;=0.6,"Moderado",IF(AB38&lt;=0.8,"Mayor","Catastrófico"))))),"")</f>
        <v/>
      </c>
      <c r="AB38" s="130" t="str">
        <f t="shared" si="36"/>
        <v/>
      </c>
      <c r="AC38" s="131" t="str">
        <f>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2">
        <v>7</v>
      </c>
      <c r="B39" s="191"/>
      <c r="C39" s="191"/>
      <c r="D39" s="191"/>
      <c r="E39" s="215"/>
      <c r="F39" s="191"/>
      <c r="G39" s="194"/>
      <c r="H39" s="203" t="str">
        <f>IF(G39&lt;=0,"",IF(G39&lt;=2,"Muy Baja",IF(G39&lt;=24,"Baja",IF(G39&lt;=500,"Media",IF(G39&lt;=5000,"Alta","Muy Alta")))))</f>
        <v/>
      </c>
      <c r="I39" s="206" t="str">
        <f>IF(H39="","",IF(H39="Muy Baja",0.2,IF(H39="Baja",0.4,IF(H39="Media",0.6,IF(H39="Alta",0.8,IF(H39="Muy Alta",1,))))))</f>
        <v/>
      </c>
      <c r="J39" s="209"/>
      <c r="K39" s="206">
        <f ca="1">IF(NOT(ISERROR(MATCH(J39,'Tabla Impacto'!$B$221:$B$223,0))),'Tabla Impacto'!$F$223&amp;"Por favor no seleccionar los criterios de impacto(Afectación Económica o presupuestal y Pérdida Reputacional)",J39)</f>
        <v>0</v>
      </c>
      <c r="L39" s="203" t="str">
        <f ca="1">IF(OR(K39='Tabla Impacto'!$C$11,K39='Tabla Impacto'!$D$11),"Leve",IF(OR(K39='Tabla Impacto'!$C$12,K39='Tabla Impacto'!$D$12),"Menor",IF(OR(K39='Tabla Impacto'!$C$13,K39='Tabla Impacto'!$D$13),"Moderado",IF(OR(K39='Tabla Impacto'!$C$14,K39='Tabla Impacto'!$D$14),"Mayor",IF(OR(K39='Tabla Impacto'!$C$15,K39='Tabla Impacto'!$D$15),"Catastrófico","")))))</f>
        <v/>
      </c>
      <c r="M39" s="206" t="str">
        <f ca="1">IF(L39="","",IF(L39="Leve",0.2,IF(L39="Menor",0.4,IF(L39="Moderado",0.6,IF(L39="Mayor",0.8,IF(L39="Catastrófico",1,))))))</f>
        <v/>
      </c>
      <c r="N39" s="197" t="str">
        <f ca="1">IF(OR(AND(H39="Muy Baja",L39="Leve"),AND(H39="Muy Baja",L39="Menor"),AND(H39="Baja",L39="Leve")),"Bajo",IF(OR(AND(H39="Muy baja",L39="Moderado"),AND(H39="Baja",L39="Menor"),AND(H39="Baja",L39="Moderado"),AND(H39="Media",L39="Leve"),AND(H39="Media",L39="Menor"),AND(H39="Media",L39="Moderado"),AND(H39="Alta",L39="Leve"),AND(H39="Alta",L39="Menor")),"Moderado",IF(OR(AND(H39="Muy Baja",L39="Mayor"),AND(H39="Baja",L39="Mayor"),AND(H39="Media",L39="Mayor"),AND(H39="Alta",L39="Moderado"),AND(H39="Alta",L39="Mayor"),AND(H39="Muy Alta",L39="Leve"),AND(H39="Muy Alta",L39="Menor"),AND(H39="Muy Alta",L39="Moderado"),AND(H39="Muy Alta",L39="Mayor")),"Alto",IF(OR(AND(H39="Muy Baja",L39="Catastrófico"),AND(H39="Baja",L39="Catastrófico"),AND(H39="Media",L39="Catastrófico"),AND(H39="Alta",L39="Catastrófico"),AND(H39="Muy Alta",L39="Catastrófico")),"Extremo",""))))</f>
        <v/>
      </c>
      <c r="O39" s="123">
        <v>1</v>
      </c>
      <c r="P39" s="124"/>
      <c r="Q39" s="125" t="str">
        <f>IF(OR(R39="Preventivo",R39="Detectivo"),"Probabilidad",IF(R39="Correctivo","Impacto",""))</f>
        <v/>
      </c>
      <c r="R39" s="126"/>
      <c r="S39" s="126"/>
      <c r="T39" s="127" t="str">
        <f>IF(AND(R39="Preventivo",S39="Automático"),"50%",IF(AND(R39="Preventivo",S39="Manual"),"40%",IF(AND(R39="Detectivo",S39="Automático"),"40%",IF(AND(R39="Detectivo",S39="Manual"),"30%",IF(AND(R39="Correctivo",S39="Automático"),"35%",IF(AND(R39="Correctivo",S39="Manual"),"25%",""))))))</f>
        <v/>
      </c>
      <c r="U39" s="126"/>
      <c r="V39" s="126"/>
      <c r="W39" s="126"/>
      <c r="X39" s="128" t="str">
        <f>IFERROR(IF(Q39="Probabilidad",(I39-(+I39*T39)),IF(Q39="Impacto",I39,"")),"")</f>
        <v/>
      </c>
      <c r="Y39" s="129" t="str">
        <f>IFERROR(IF(X39="","",IF(X39&lt;=0.2,"Muy Baja",IF(X39&lt;=0.4,"Baja",IF(X39&lt;=0.6,"Media",IF(X39&lt;=0.8,"Alta","Muy Alta"))))),"")</f>
        <v/>
      </c>
      <c r="Z39" s="130" t="str">
        <f>+X39</f>
        <v/>
      </c>
      <c r="AA39" s="129" t="str">
        <f>IFERROR(IF(AB39="","",IF(AB39&lt;=0.2,"Leve",IF(AB39&lt;=0.4,"Menor",IF(AB39&lt;=0.6,"Moderado",IF(AB39&lt;=0.8,"Mayor","Catastrófico"))))),"")</f>
        <v/>
      </c>
      <c r="AB39" s="130" t="str">
        <f>IFERROR(IF(Q39="Impacto",(M39-(+M39*T39)),IF(Q39="Probabilidad",M39,"")),"")</f>
        <v/>
      </c>
      <c r="AC39" s="131" t="str">
        <f>IFERROR(IF(OR(AND(Y39="Muy Baja",AA39="Leve"),AND(Y39="Muy Baja",AA39="Menor"),AND(Y39="Baja",AA39="Leve")),"Bajo",IF(OR(AND(Y39="Muy baja",AA39="Moderado"),AND(Y39="Baja",AA39="Menor"),AND(Y39="Baja",AA39="Moderado"),AND(Y39="Media",AA39="Leve"),AND(Y39="Media",AA39="Menor"),AND(Y39="Media",AA39="Moderado"),AND(Y39="Alta",AA39="Leve"),AND(Y39="Alta",AA39="Menor")),"Moderado",IF(OR(AND(Y39="Muy Baja",AA39="Mayor"),AND(Y39="Baja",AA39="Mayor"),AND(Y39="Media",AA39="Mayor"),AND(Y39="Alta",AA39="Moderado"),AND(Y39="Alta",AA39="Mayor"),AND(Y39="Muy Alta",AA39="Leve"),AND(Y39="Muy Alta",AA39="Menor"),AND(Y39="Muy Alta",AA39="Moderado"),AND(Y39="Muy Alta",AA39="Mayor")),"Alto",IF(OR(AND(Y39="Muy Baja",AA39="Catastrófico"),AND(Y39="Baja",AA39="Catastrófico"),AND(Y39="Media",AA39="Catastrófico"),AND(Y39="Alta",AA39="Catastrófico"),AND(Y39="Muy Alta",AA39="Catastrófico")),"Extremo","")))),"")</f>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3"/>
      <c r="B40" s="192"/>
      <c r="C40" s="192"/>
      <c r="D40" s="192"/>
      <c r="E40" s="216"/>
      <c r="F40" s="192"/>
      <c r="G40" s="195"/>
      <c r="H40" s="204"/>
      <c r="I40" s="207"/>
      <c r="J40" s="210"/>
      <c r="K40" s="207">
        <f t="shared" ref="K40:K44" ca="1" si="38">IF(NOT(ISERROR(MATCH(J40,_xlfn.ANCHORARRAY(E51),0))),I53&amp;"Por favor no seleccionar los criterios de impacto",J40)</f>
        <v>0</v>
      </c>
      <c r="L40" s="204"/>
      <c r="M40" s="207"/>
      <c r="N40" s="198"/>
      <c r="O40" s="123">
        <v>2</v>
      </c>
      <c r="P40" s="124"/>
      <c r="Q40" s="125" t="str">
        <f>IF(OR(R40="Preventivo",R40="Detectivo"),"Probabilidad",IF(R40="Correctivo","Impacto",""))</f>
        <v/>
      </c>
      <c r="R40" s="126"/>
      <c r="S40" s="126"/>
      <c r="T40" s="127" t="str">
        <f t="shared" ref="T40:T44" si="39">IF(AND(R40="Preventivo",S40="Automático"),"50%",IF(AND(R40="Preventivo",S40="Manual"),"40%",IF(AND(R40="Detectivo",S40="Automático"),"40%",IF(AND(R40="Detectivo",S40="Manual"),"30%",IF(AND(R40="Correctivo",S40="Automático"),"35%",IF(AND(R40="Correctivo",S40="Manual"),"25%",""))))))</f>
        <v/>
      </c>
      <c r="U40" s="126"/>
      <c r="V40" s="126"/>
      <c r="W40" s="126"/>
      <c r="X40" s="128" t="str">
        <f>IFERROR(IF(AND(Q39="Probabilidad",Q40="Probabilidad"),(Z39-(+Z39*T40)),IF(Q40="Probabilidad",(I39-(+I39*T40)),IF(Q40="Impacto",Z39,""))),"")</f>
        <v/>
      </c>
      <c r="Y40" s="129" t="str">
        <f t="shared" si="1"/>
        <v/>
      </c>
      <c r="Z40" s="130" t="str">
        <f t="shared" ref="Z40:Z44" si="40">+X40</f>
        <v/>
      </c>
      <c r="AA40" s="129" t="str">
        <f t="shared" si="3"/>
        <v/>
      </c>
      <c r="AB40" s="130" t="str">
        <f>IFERROR(IF(AND(Q39="Impacto",Q40="Impacto"),(AB33-(+AB33*T40)),IF(Q40="Impacto",($M$39-(+$M$39*T40)),IF(Q40="Probabilidad",AB33,""))),"")</f>
        <v/>
      </c>
      <c r="AC40" s="131" t="str">
        <f t="shared" ref="AC40:AC41" si="41">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ca="1" si="38"/>
        <v>0</v>
      </c>
      <c r="L41" s="204"/>
      <c r="M41" s="207"/>
      <c r="N41" s="198"/>
      <c r="O41" s="123">
        <v>3</v>
      </c>
      <c r="P41" s="136"/>
      <c r="Q41" s="125" t="str">
        <f>IF(OR(R41="Preventivo",R41="Detectivo"),"Probabilidad",IF(R41="Correctivo","Impacto",""))</f>
        <v/>
      </c>
      <c r="R41" s="126"/>
      <c r="S41" s="126"/>
      <c r="T41" s="127" t="str">
        <f t="shared" si="39"/>
        <v/>
      </c>
      <c r="U41" s="126"/>
      <c r="V41" s="126"/>
      <c r="W41" s="126"/>
      <c r="X41" s="128" t="str">
        <f>IFERROR(IF(AND(Q40="Probabilidad",Q41="Probabilidad"),(Z40-(+Z40*T41)),IF(AND(Q40="Impacto",Q41="Probabilidad"),(Z39-(+Z39*T41)),IF(Q41="Impacto",Z40,""))),"")</f>
        <v/>
      </c>
      <c r="Y41" s="129" t="str">
        <f t="shared" si="1"/>
        <v/>
      </c>
      <c r="Z41" s="130" t="str">
        <f t="shared" si="40"/>
        <v/>
      </c>
      <c r="AA41" s="129" t="str">
        <f t="shared" si="3"/>
        <v/>
      </c>
      <c r="AB41" s="130" t="str">
        <f>IFERROR(IF(AND(Q40="Impacto",Q41="Impacto"),(AB40-(+AB40*T41)),IF(AND(Q40="Probabilidad",Q41="Impacto"),(AB39-(+AB39*T41)),IF(Q41="Probabilidad",AB40,""))),"")</f>
        <v/>
      </c>
      <c r="AC41" s="131" t="str">
        <f t="shared" si="41"/>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8"/>
        <v>0</v>
      </c>
      <c r="L42" s="204"/>
      <c r="M42" s="207"/>
      <c r="N42" s="198"/>
      <c r="O42" s="123">
        <v>4</v>
      </c>
      <c r="P42" s="124"/>
      <c r="Q42" s="125" t="str">
        <f t="shared" ref="Q42:Q44" si="42">IF(OR(R42="Preventivo",R42="Detectivo"),"Probabilidad",IF(R42="Correctivo","Impacto",""))</f>
        <v/>
      </c>
      <c r="R42" s="126"/>
      <c r="S42" s="126"/>
      <c r="T42" s="127" t="str">
        <f t="shared" si="39"/>
        <v/>
      </c>
      <c r="U42" s="126"/>
      <c r="V42" s="126"/>
      <c r="W42" s="126"/>
      <c r="X42" s="128" t="str">
        <f t="shared" ref="X42:X44" si="43">IFERROR(IF(AND(Q41="Probabilidad",Q42="Probabilidad"),(Z41-(+Z41*T42)),IF(AND(Q41="Impacto",Q42="Probabilidad"),(Z40-(+Z40*T42)),IF(Q42="Impacto",Z41,""))),"")</f>
        <v/>
      </c>
      <c r="Y42" s="129" t="str">
        <f t="shared" si="1"/>
        <v/>
      </c>
      <c r="Z42" s="130" t="str">
        <f t="shared" si="40"/>
        <v/>
      </c>
      <c r="AA42" s="129" t="str">
        <f t="shared" si="3"/>
        <v/>
      </c>
      <c r="AB42" s="130" t="str">
        <f t="shared" ref="AB42:AB44" si="44">IFERROR(IF(AND(Q41="Impacto",Q42="Impacto"),(AB41-(+AB41*T42)),IF(AND(Q41="Probabilidad",Q42="Impacto"),(AB40-(+AB40*T42)),IF(Q42="Probabilidad",AB41,""))),"")</f>
        <v/>
      </c>
      <c r="AC42" s="131" t="str">
        <f>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8"/>
        <v>0</v>
      </c>
      <c r="L43" s="204"/>
      <c r="M43" s="207"/>
      <c r="N43" s="198"/>
      <c r="O43" s="123">
        <v>5</v>
      </c>
      <c r="P43" s="124"/>
      <c r="Q43" s="125" t="str">
        <f t="shared" si="42"/>
        <v/>
      </c>
      <c r="R43" s="126"/>
      <c r="S43" s="126"/>
      <c r="T43" s="127" t="str">
        <f t="shared" si="39"/>
        <v/>
      </c>
      <c r="U43" s="126"/>
      <c r="V43" s="126"/>
      <c r="W43" s="126"/>
      <c r="X43" s="128" t="str">
        <f t="shared" si="43"/>
        <v/>
      </c>
      <c r="Y43" s="129" t="str">
        <f t="shared" si="1"/>
        <v/>
      </c>
      <c r="Z43" s="130" t="str">
        <f t="shared" si="40"/>
        <v/>
      </c>
      <c r="AA43" s="129" t="str">
        <f t="shared" si="3"/>
        <v/>
      </c>
      <c r="AB43" s="130" t="str">
        <f t="shared" si="44"/>
        <v/>
      </c>
      <c r="AC43" s="131" t="str">
        <f t="shared" ref="AC43:AC44" si="45">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4"/>
      <c r="B44" s="193"/>
      <c r="C44" s="193"/>
      <c r="D44" s="193"/>
      <c r="E44" s="217"/>
      <c r="F44" s="193"/>
      <c r="G44" s="196"/>
      <c r="H44" s="205"/>
      <c r="I44" s="208"/>
      <c r="J44" s="211"/>
      <c r="K44" s="208">
        <f t="shared" ca="1" si="38"/>
        <v>0</v>
      </c>
      <c r="L44" s="205"/>
      <c r="M44" s="208"/>
      <c r="N44" s="199"/>
      <c r="O44" s="123">
        <v>6</v>
      </c>
      <c r="P44" s="124"/>
      <c r="Q44" s="125" t="str">
        <f t="shared" si="42"/>
        <v/>
      </c>
      <c r="R44" s="126"/>
      <c r="S44" s="126"/>
      <c r="T44" s="127" t="str">
        <f t="shared" si="39"/>
        <v/>
      </c>
      <c r="U44" s="126"/>
      <c r="V44" s="126"/>
      <c r="W44" s="126"/>
      <c r="X44" s="128" t="str">
        <f t="shared" si="43"/>
        <v/>
      </c>
      <c r="Y44" s="129" t="str">
        <f t="shared" si="1"/>
        <v/>
      </c>
      <c r="Z44" s="130" t="str">
        <f t="shared" si="40"/>
        <v/>
      </c>
      <c r="AA44" s="129" t="str">
        <f t="shared" si="3"/>
        <v/>
      </c>
      <c r="AB44" s="130" t="str">
        <f t="shared" si="44"/>
        <v/>
      </c>
      <c r="AC44" s="131" t="str">
        <f t="shared" si="45"/>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2">
        <v>8</v>
      </c>
      <c r="B45" s="191"/>
      <c r="C45" s="191"/>
      <c r="D45" s="191"/>
      <c r="E45" s="215"/>
      <c r="F45" s="191"/>
      <c r="G45" s="194"/>
      <c r="H45" s="203" t="str">
        <f>IF(G45&lt;=0,"",IF(G45&lt;=2,"Muy Baja",IF(G45&lt;=24,"Baja",IF(G45&lt;=500,"Media",IF(G45&lt;=5000,"Alta","Muy Alta")))))</f>
        <v/>
      </c>
      <c r="I45" s="206" t="str">
        <f>IF(H45="","",IF(H45="Muy Baja",0.2,IF(H45="Baja",0.4,IF(H45="Media",0.6,IF(H45="Alta",0.8,IF(H45="Muy Alta",1,))))))</f>
        <v/>
      </c>
      <c r="J45" s="209"/>
      <c r="K45" s="206">
        <f ca="1">IF(NOT(ISERROR(MATCH(J45,'Tabla Impacto'!$B$221:$B$223,0))),'Tabla Impacto'!$F$223&amp;"Por favor no seleccionar los criterios de impacto(Afectación Económica o presupuestal y Pérdida Reputacional)",J45)</f>
        <v>0</v>
      </c>
      <c r="L45" s="203" t="str">
        <f ca="1">IF(OR(K45='Tabla Impacto'!$C$11,K45='Tabla Impacto'!$D$11),"Leve",IF(OR(K45='Tabla Impacto'!$C$12,K45='Tabla Impacto'!$D$12),"Menor",IF(OR(K45='Tabla Impacto'!$C$13,K45='Tabla Impacto'!$D$13),"Moderado",IF(OR(K45='Tabla Impacto'!$C$14,K45='Tabla Impacto'!$D$14),"Mayor",IF(OR(K45='Tabla Impacto'!$C$15,K45='Tabla Impacto'!$D$15),"Catastrófico","")))))</f>
        <v/>
      </c>
      <c r="M45" s="206" t="str">
        <f ca="1">IF(L45="","",IF(L45="Leve",0.2,IF(L45="Menor",0.4,IF(L45="Moderado",0.6,IF(L45="Mayor",0.8,IF(L45="Catastrófico",1,))))))</f>
        <v/>
      </c>
      <c r="N45" s="197" t="str">
        <f ca="1">IF(OR(AND(H45="Muy Baja",L45="Leve"),AND(H45="Muy Baja",L45="Menor"),AND(H45="Baja",L45="Leve")),"Bajo",IF(OR(AND(H45="Muy baja",L45="Moderado"),AND(H45="Baja",L45="Menor"),AND(H45="Baja",L45="Moderado"),AND(H45="Media",L45="Leve"),AND(H45="Media",L45="Menor"),AND(H45="Media",L45="Moderado"),AND(H45="Alta",L45="Leve"),AND(H45="Alta",L45="Menor")),"Moderado",IF(OR(AND(H45="Muy Baja",L45="Mayor"),AND(H45="Baja",L45="Mayor"),AND(H45="Media",L45="Mayor"),AND(H45="Alta",L45="Moderado"),AND(H45="Alta",L45="Mayor"),AND(H45="Muy Alta",L45="Leve"),AND(H45="Muy Alta",L45="Menor"),AND(H45="Muy Alta",L45="Moderado"),AND(H45="Muy Alta",L45="Mayor")),"Alto",IF(OR(AND(H45="Muy Baja",L45="Catastrófico"),AND(H45="Baja",L45="Catastrófico"),AND(H45="Media",L45="Catastrófico"),AND(H45="Alta",L45="Catastrófico"),AND(H45="Muy Alta",L45="Catastrófico")),"Extremo",""))))</f>
        <v/>
      </c>
      <c r="O45" s="123">
        <v>1</v>
      </c>
      <c r="P45" s="124"/>
      <c r="Q45" s="125" t="str">
        <f>IF(OR(R45="Preventivo",R45="Detectivo"),"Probabilidad",IF(R45="Correctivo","Impacto",""))</f>
        <v/>
      </c>
      <c r="R45" s="126"/>
      <c r="S45" s="126"/>
      <c r="T45" s="127" t="str">
        <f>IF(AND(R45="Preventivo",S45="Automático"),"50%",IF(AND(R45="Preventivo",S45="Manual"),"40%",IF(AND(R45="Detectivo",S45="Automático"),"40%",IF(AND(R45="Detectivo",S45="Manual"),"30%",IF(AND(R45="Correctivo",S45="Automático"),"35%",IF(AND(R45="Correctivo",S45="Manual"),"25%",""))))))</f>
        <v/>
      </c>
      <c r="U45" s="126"/>
      <c r="V45" s="126"/>
      <c r="W45" s="126"/>
      <c r="X45" s="128" t="str">
        <f>IFERROR(IF(Q45="Probabilidad",(I45-(+I45*T45)),IF(Q45="Impacto",I45,"")),"")</f>
        <v/>
      </c>
      <c r="Y45" s="129" t="str">
        <f>IFERROR(IF(X45="","",IF(X45&lt;=0.2,"Muy Baja",IF(X45&lt;=0.4,"Baja",IF(X45&lt;=0.6,"Media",IF(X45&lt;=0.8,"Alta","Muy Alta"))))),"")</f>
        <v/>
      </c>
      <c r="Z45" s="130" t="str">
        <f>+X45</f>
        <v/>
      </c>
      <c r="AA45" s="129" t="str">
        <f>IFERROR(IF(AB45="","",IF(AB45&lt;=0.2,"Leve",IF(AB45&lt;=0.4,"Menor",IF(AB45&lt;=0.6,"Moderado",IF(AB45&lt;=0.8,"Mayor","Catastrófico"))))),"")</f>
        <v/>
      </c>
      <c r="AB45" s="130" t="str">
        <f>IFERROR(IF(Q45="Impacto",(M45-(+M45*T45)),IF(Q45="Probabilidad",M45,"")),"")</f>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3"/>
      <c r="B46" s="192"/>
      <c r="C46" s="192"/>
      <c r="D46" s="192"/>
      <c r="E46" s="216"/>
      <c r="F46" s="192"/>
      <c r="G46" s="195"/>
      <c r="H46" s="204"/>
      <c r="I46" s="207"/>
      <c r="J46" s="210"/>
      <c r="K46" s="207">
        <f ca="1">IF(NOT(ISERROR(MATCH(J46,_xlfn.ANCHORARRAY(E57),0))),I59&amp;"Por favor no seleccionar los criterios de impacto",J46)</f>
        <v>0</v>
      </c>
      <c r="L46" s="204"/>
      <c r="M46" s="207"/>
      <c r="N46" s="198"/>
      <c r="O46" s="123">
        <v>2</v>
      </c>
      <c r="P46" s="124"/>
      <c r="Q46" s="125" t="str">
        <f>IF(OR(R46="Preventivo",R46="Detectivo"),"Probabilidad",IF(R46="Correctivo","Impacto",""))</f>
        <v/>
      </c>
      <c r="R46" s="126"/>
      <c r="S46" s="126"/>
      <c r="T46" s="127" t="str">
        <f t="shared" ref="T46:T50" si="46">IF(AND(R46="Preventivo",S46="Automático"),"50%",IF(AND(R46="Preventivo",S46="Manual"),"40%",IF(AND(R46="Detectivo",S46="Automático"),"40%",IF(AND(R46="Detectivo",S46="Manual"),"30%",IF(AND(R46="Correctivo",S46="Automático"),"35%",IF(AND(R46="Correctivo",S46="Manual"),"25%",""))))))</f>
        <v/>
      </c>
      <c r="U46" s="126"/>
      <c r="V46" s="126"/>
      <c r="W46" s="126"/>
      <c r="X46" s="128" t="str">
        <f>IFERROR(IF(AND(Q45="Probabilidad",Q46="Probabilidad"),(Z45-(+Z45*T46)),IF(Q46="Probabilidad",(I45-(+I45*T46)),IF(Q46="Impacto",Z45,""))),"")</f>
        <v/>
      </c>
      <c r="Y46" s="129" t="str">
        <f t="shared" si="1"/>
        <v/>
      </c>
      <c r="Z46" s="130" t="str">
        <f t="shared" ref="Z46:Z50" si="47">+X46</f>
        <v/>
      </c>
      <c r="AA46" s="129" t="str">
        <f t="shared" si="3"/>
        <v/>
      </c>
      <c r="AB46" s="130" t="str">
        <f>IFERROR(IF(AND(Q45="Impacto",Q46="Impacto"),(AB39-(+AB39*T46)),IF(Q46="Impacto",($M$45-(+$M$45*T46)),IF(Q46="Probabilidad",AB39,""))),"")</f>
        <v/>
      </c>
      <c r="AC46" s="131" t="str">
        <f t="shared" ref="AC46:AC47" si="48">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ca="1">IF(NOT(ISERROR(MATCH(J47,_xlfn.ANCHORARRAY(E58),0))),I60&amp;"Por favor no seleccionar los criterios de impacto",J47)</f>
        <v>0</v>
      </c>
      <c r="L47" s="204"/>
      <c r="M47" s="207"/>
      <c r="N47" s="198"/>
      <c r="O47" s="123">
        <v>3</v>
      </c>
      <c r="P47" s="136"/>
      <c r="Q47" s="125" t="str">
        <f>IF(OR(R47="Preventivo",R47="Detectivo"),"Probabilidad",IF(R47="Correctivo","Impacto",""))</f>
        <v/>
      </c>
      <c r="R47" s="126"/>
      <c r="S47" s="126"/>
      <c r="T47" s="127" t="str">
        <f t="shared" si="46"/>
        <v/>
      </c>
      <c r="U47" s="126"/>
      <c r="V47" s="126"/>
      <c r="W47" s="126"/>
      <c r="X47" s="128" t="str">
        <f>IFERROR(IF(AND(Q46="Probabilidad",Q47="Probabilidad"),(Z46-(+Z46*T47)),IF(AND(Q46="Impacto",Q47="Probabilidad"),(Z45-(+Z45*T47)),IF(Q47="Impacto",Z46,""))),"")</f>
        <v/>
      </c>
      <c r="Y47" s="129" t="str">
        <f t="shared" si="1"/>
        <v/>
      </c>
      <c r="Z47" s="130" t="str">
        <f t="shared" si="47"/>
        <v/>
      </c>
      <c r="AA47" s="129" t="str">
        <f t="shared" si="3"/>
        <v/>
      </c>
      <c r="AB47" s="130" t="str">
        <f>IFERROR(IF(AND(Q46="Impacto",Q47="Impacto"),(AB46-(+AB46*T47)),IF(AND(Q46="Probabilidad",Q47="Impacto"),(AB45-(+AB45*T47)),IF(Q47="Probabilidad",AB46,""))),"")</f>
        <v/>
      </c>
      <c r="AC47" s="131" t="str">
        <f t="shared" si="48"/>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ca="1">IF(NOT(ISERROR(MATCH(J48,_xlfn.ANCHORARRAY(E59),0))),I61&amp;"Por favor no seleccionar los criterios de impacto",J48)</f>
        <v>0</v>
      </c>
      <c r="L48" s="204"/>
      <c r="M48" s="207"/>
      <c r="N48" s="198"/>
      <c r="O48" s="123">
        <v>4</v>
      </c>
      <c r="P48" s="124"/>
      <c r="Q48" s="125" t="str">
        <f t="shared" ref="Q48:Q50" si="49">IF(OR(R48="Preventivo",R48="Detectivo"),"Probabilidad",IF(R48="Correctivo","Impacto",""))</f>
        <v/>
      </c>
      <c r="R48" s="126"/>
      <c r="S48" s="126"/>
      <c r="T48" s="127" t="str">
        <f t="shared" si="46"/>
        <v/>
      </c>
      <c r="U48" s="126"/>
      <c r="V48" s="126"/>
      <c r="W48" s="126"/>
      <c r="X48" s="128" t="str">
        <f t="shared" ref="X48:X50" si="50">IFERROR(IF(AND(Q47="Probabilidad",Q48="Probabilidad"),(Z47-(+Z47*T48)),IF(AND(Q47="Impacto",Q48="Probabilidad"),(Z46-(+Z46*T48)),IF(Q48="Impacto",Z47,""))),"")</f>
        <v/>
      </c>
      <c r="Y48" s="129" t="str">
        <f t="shared" si="1"/>
        <v/>
      </c>
      <c r="Z48" s="130" t="str">
        <f t="shared" si="47"/>
        <v/>
      </c>
      <c r="AA48" s="129" t="str">
        <f t="shared" si="3"/>
        <v/>
      </c>
      <c r="AB48" s="130" t="str">
        <f t="shared" ref="AB48:AB50" si="51">IFERROR(IF(AND(Q47="Impacto",Q48="Impacto"),(AB47-(+AB47*T48)),IF(AND(Q47="Probabilidad",Q48="Impacto"),(AB46-(+AB46*T48)),IF(Q48="Probabilidad",AB47,""))),"")</f>
        <v/>
      </c>
      <c r="AC48" s="131" t="str">
        <f>IFERROR(IF(OR(AND(Y48="Muy Baja",AA48="Leve"),AND(Y48="Muy Baja",AA48="Menor"),AND(Y48="Baja",AA48="Leve")),"Bajo",IF(OR(AND(Y48="Muy baja",AA48="Moderado"),AND(Y48="Baja",AA48="Menor"),AND(Y48="Baja",AA48="Moderado"),AND(Y48="Media",AA48="Leve"),AND(Y48="Media",AA48="Menor"),AND(Y48="Media",AA48="Moderado"),AND(Y48="Alta",AA48="Leve"),AND(Y48="Alta",AA48="Menor")),"Moderado",IF(OR(AND(Y48="Muy Baja",AA48="Mayor"),AND(Y48="Baja",AA48="Mayor"),AND(Y48="Media",AA48="Mayor"),AND(Y48="Alta",AA48="Moderado"),AND(Y48="Alta",AA48="Mayor"),AND(Y48="Muy Alta",AA48="Leve"),AND(Y48="Muy Alta",AA48="Menor"),AND(Y48="Muy Alta",AA48="Moderado"),AND(Y48="Muy Alta",AA48="Mayor")),"Alto",IF(OR(AND(Y48="Muy Baja",AA48="Catastrófico"),AND(Y48="Baja",AA48="Catastrófico"),AND(Y48="Media",AA48="Catastrófico"),AND(Y48="Alta",AA48="Catastrófico"),AND(Y48="Muy Alta",AA48="Catastrófico")),"Extremo","")))),"")</f>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ca="1">IF(NOT(ISERROR(MATCH(J49,_xlfn.ANCHORARRAY(E60),0))),I62&amp;"Por favor no seleccionar los criterios de impacto",J49)</f>
        <v>0</v>
      </c>
      <c r="L49" s="204"/>
      <c r="M49" s="207"/>
      <c r="N49" s="198"/>
      <c r="O49" s="123">
        <v>5</v>
      </c>
      <c r="P49" s="124"/>
      <c r="Q49" s="125" t="str">
        <f t="shared" si="49"/>
        <v/>
      </c>
      <c r="R49" s="126"/>
      <c r="S49" s="126"/>
      <c r="T49" s="127" t="str">
        <f t="shared" si="46"/>
        <v/>
      </c>
      <c r="U49" s="126"/>
      <c r="V49" s="126"/>
      <c r="W49" s="126"/>
      <c r="X49" s="128" t="str">
        <f t="shared" si="50"/>
        <v/>
      </c>
      <c r="Y49" s="129" t="str">
        <f t="shared" si="1"/>
        <v/>
      </c>
      <c r="Z49" s="130" t="str">
        <f t="shared" si="47"/>
        <v/>
      </c>
      <c r="AA49" s="129" t="str">
        <f t="shared" si="3"/>
        <v/>
      </c>
      <c r="AB49" s="130" t="str">
        <f t="shared" si="51"/>
        <v/>
      </c>
      <c r="AC49" s="131" t="str">
        <f t="shared" ref="AC49:AC50" si="52">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4"/>
      <c r="B50" s="193"/>
      <c r="C50" s="193"/>
      <c r="D50" s="193"/>
      <c r="E50" s="217"/>
      <c r="F50" s="193"/>
      <c r="G50" s="196"/>
      <c r="H50" s="205"/>
      <c r="I50" s="208"/>
      <c r="J50" s="211"/>
      <c r="K50" s="208">
        <f ca="1">IF(NOT(ISERROR(MATCH(J50,_xlfn.ANCHORARRAY(E61),0))),I63&amp;"Por favor no seleccionar los criterios de impacto",J50)</f>
        <v>0</v>
      </c>
      <c r="L50" s="205"/>
      <c r="M50" s="208"/>
      <c r="N50" s="199"/>
      <c r="O50" s="123">
        <v>6</v>
      </c>
      <c r="P50" s="124"/>
      <c r="Q50" s="125" t="str">
        <f t="shared" si="49"/>
        <v/>
      </c>
      <c r="R50" s="126"/>
      <c r="S50" s="126"/>
      <c r="T50" s="127" t="str">
        <f t="shared" si="46"/>
        <v/>
      </c>
      <c r="U50" s="126"/>
      <c r="V50" s="126"/>
      <c r="W50" s="126"/>
      <c r="X50" s="128" t="str">
        <f t="shared" si="50"/>
        <v/>
      </c>
      <c r="Y50" s="129" t="str">
        <f t="shared" si="1"/>
        <v/>
      </c>
      <c r="Z50" s="130" t="str">
        <f t="shared" si="47"/>
        <v/>
      </c>
      <c r="AA50" s="129" t="str">
        <f t="shared" si="3"/>
        <v/>
      </c>
      <c r="AB50" s="130" t="str">
        <f t="shared" si="51"/>
        <v/>
      </c>
      <c r="AC50" s="131" t="str">
        <f t="shared" si="52"/>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2">
        <v>9</v>
      </c>
      <c r="B51" s="191"/>
      <c r="C51" s="191"/>
      <c r="D51" s="191"/>
      <c r="E51" s="215"/>
      <c r="F51" s="191"/>
      <c r="G51" s="194"/>
      <c r="H51" s="203" t="str">
        <f>IF(G51&lt;=0,"",IF(G51&lt;=2,"Muy Baja",IF(G51&lt;=24,"Baja",IF(G51&lt;=500,"Media",IF(G51&lt;=5000,"Alta","Muy Alta")))))</f>
        <v/>
      </c>
      <c r="I51" s="206" t="str">
        <f>IF(H51="","",IF(H51="Muy Baja",0.2,IF(H51="Baja",0.4,IF(H51="Media",0.6,IF(H51="Alta",0.8,IF(H51="Muy Alta",1,))))))</f>
        <v/>
      </c>
      <c r="J51" s="209"/>
      <c r="K51" s="206">
        <f ca="1">IF(NOT(ISERROR(MATCH(J51,'Tabla Impacto'!$B$221:$B$223,0))),'Tabla Impacto'!$F$223&amp;"Por favor no seleccionar los criterios de impacto(Afectación Económica o presupuestal y Pérdida Reputacional)",J51)</f>
        <v>0</v>
      </c>
      <c r="L51" s="203" t="str">
        <f ca="1">IF(OR(K51='Tabla Impacto'!$C$11,K51='Tabla Impacto'!$D$11),"Leve",IF(OR(K51='Tabla Impacto'!$C$12,K51='Tabla Impacto'!$D$12),"Menor",IF(OR(K51='Tabla Impacto'!$C$13,K51='Tabla Impacto'!$D$13),"Moderado",IF(OR(K51='Tabla Impacto'!$C$14,K51='Tabla Impacto'!$D$14),"Mayor",IF(OR(K51='Tabla Impacto'!$C$15,K51='Tabla Impacto'!$D$15),"Catastrófico","")))))</f>
        <v/>
      </c>
      <c r="M51" s="206" t="str">
        <f ca="1">IF(L51="","",IF(L51="Leve",0.2,IF(L51="Menor",0.4,IF(L51="Moderado",0.6,IF(L51="Mayor",0.8,IF(L51="Catastrófico",1,))))))</f>
        <v/>
      </c>
      <c r="N51" s="197" t="str">
        <f ca="1">IF(OR(AND(H51="Muy Baja",L51="Leve"),AND(H51="Muy Baja",L51="Menor"),AND(H51="Baja",L51="Leve")),"Bajo",IF(OR(AND(H51="Muy baja",L51="Moderado"),AND(H51="Baja",L51="Menor"),AND(H51="Baja",L51="Moderado"),AND(H51="Media",L51="Leve"),AND(H51="Media",L51="Menor"),AND(H51="Media",L51="Moderado"),AND(H51="Alta",L51="Leve"),AND(H51="Alta",L51="Menor")),"Moderado",IF(OR(AND(H51="Muy Baja",L51="Mayor"),AND(H51="Baja",L51="Mayor"),AND(H51="Media",L51="Mayor"),AND(H51="Alta",L51="Moderado"),AND(H51="Alta",L51="Mayor"),AND(H51="Muy Alta",L51="Leve"),AND(H51="Muy Alta",L51="Menor"),AND(H51="Muy Alta",L51="Moderado"),AND(H51="Muy Alta",L51="Mayor")),"Alto",IF(OR(AND(H51="Muy Baja",L51="Catastrófico"),AND(H51="Baja",L51="Catastrófico"),AND(H51="Media",L51="Catastrófico"),AND(H51="Alta",L51="Catastrófico"),AND(H51="Muy Alta",L51="Catastrófico")),"Extremo",""))))</f>
        <v/>
      </c>
      <c r="O51" s="123">
        <v>1</v>
      </c>
      <c r="P51" s="124"/>
      <c r="Q51" s="125" t="str">
        <f>IF(OR(R51="Preventivo",R51="Detectivo"),"Probabilidad",IF(R51="Correctivo","Impacto",""))</f>
        <v/>
      </c>
      <c r="R51" s="126"/>
      <c r="S51" s="126"/>
      <c r="T51" s="127" t="str">
        <f>IF(AND(R51="Preventivo",S51="Automático"),"50%",IF(AND(R51="Preventivo",S51="Manual"),"40%",IF(AND(R51="Detectivo",S51="Automático"),"40%",IF(AND(R51="Detectivo",S51="Manual"),"30%",IF(AND(R51="Correctivo",S51="Automático"),"35%",IF(AND(R51="Correctivo",S51="Manual"),"25%",""))))))</f>
        <v/>
      </c>
      <c r="U51" s="126"/>
      <c r="V51" s="126"/>
      <c r="W51" s="126"/>
      <c r="X51" s="128" t="str">
        <f>IFERROR(IF(Q51="Probabilidad",(I51-(+I51*T51)),IF(Q51="Impacto",I51,"")),"")</f>
        <v/>
      </c>
      <c r="Y51" s="129" t="str">
        <f>IFERROR(IF(X51="","",IF(X51&lt;=0.2,"Muy Baja",IF(X51&lt;=0.4,"Baja",IF(X51&lt;=0.6,"Media",IF(X51&lt;=0.8,"Alta","Muy Alta"))))),"")</f>
        <v/>
      </c>
      <c r="Z51" s="130" t="str">
        <f>+X51</f>
        <v/>
      </c>
      <c r="AA51" s="129" t="str">
        <f>IFERROR(IF(AB51="","",IF(AB51&lt;=0.2,"Leve",IF(AB51&lt;=0.4,"Menor",IF(AB51&lt;=0.6,"Moderado",IF(AB51&lt;=0.8,"Mayor","Catastrófico"))))),"")</f>
        <v/>
      </c>
      <c r="AB51" s="130" t="str">
        <f>IFERROR(IF(Q51="Impacto",(M51-(+M51*T51)),IF(Q51="Probabilidad",M51,"")),"")</f>
        <v/>
      </c>
      <c r="AC51" s="131" t="str">
        <f>IFERROR(IF(OR(AND(Y51="Muy Baja",AA51="Leve"),AND(Y51="Muy Baja",AA51="Menor"),AND(Y51="Baja",AA51="Leve")),"Bajo",IF(OR(AND(Y51="Muy baja",AA51="Moderado"),AND(Y51="Baja",AA51="Menor"),AND(Y51="Baja",AA51="Moderado"),AND(Y51="Media",AA51="Leve"),AND(Y51="Media",AA51="Menor"),AND(Y51="Media",AA51="Moderado"),AND(Y51="Alta",AA51="Leve"),AND(Y51="Alta",AA51="Menor")),"Moderado",IF(OR(AND(Y51="Muy Baja",AA51="Mayor"),AND(Y51="Baja",AA51="Mayor"),AND(Y51="Media",AA51="Mayor"),AND(Y51="Alta",AA51="Moderado"),AND(Y51="Alta",AA51="Mayor"),AND(Y51="Muy Alta",AA51="Leve"),AND(Y51="Muy Alta",AA51="Menor"),AND(Y51="Muy Alta",AA51="Moderado"),AND(Y51="Muy Alta",AA51="Mayor")),"Alto",IF(OR(AND(Y51="Muy Baja",AA51="Catastrófico"),AND(Y51="Baja",AA51="Catastrófico"),AND(Y51="Media",AA51="Catastrófico"),AND(Y51="Alta",AA51="Catastrófico"),AND(Y51="Muy Alta",AA51="Catastrófico")),"Extremo","")))),"")</f>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3"/>
      <c r="B52" s="192"/>
      <c r="C52" s="192"/>
      <c r="D52" s="192"/>
      <c r="E52" s="216"/>
      <c r="F52" s="192"/>
      <c r="G52" s="195"/>
      <c r="H52" s="204"/>
      <c r="I52" s="207"/>
      <c r="J52" s="210"/>
      <c r="K52" s="207">
        <f ca="1">IF(NOT(ISERROR(MATCH(J52,_xlfn.ANCHORARRAY(E63),0))),I65&amp;"Por favor no seleccionar los criterios de impacto",J52)</f>
        <v>0</v>
      </c>
      <c r="L52" s="204"/>
      <c r="M52" s="207"/>
      <c r="N52" s="198"/>
      <c r="O52" s="123">
        <v>2</v>
      </c>
      <c r="P52" s="124"/>
      <c r="Q52" s="125" t="str">
        <f>IF(OR(R52="Preventivo",R52="Detectivo"),"Probabilidad",IF(R52="Correctivo","Impacto",""))</f>
        <v/>
      </c>
      <c r="R52" s="126"/>
      <c r="S52" s="126"/>
      <c r="T52" s="127" t="str">
        <f t="shared" ref="T52:T56" si="53">IF(AND(R52="Preventivo",S52="Automático"),"50%",IF(AND(R52="Preventivo",S52="Manual"),"40%",IF(AND(R52="Detectivo",S52="Automático"),"40%",IF(AND(R52="Detectivo",S52="Manual"),"30%",IF(AND(R52="Correctivo",S52="Automático"),"35%",IF(AND(R52="Correctivo",S52="Manual"),"25%",""))))))</f>
        <v/>
      </c>
      <c r="U52" s="126"/>
      <c r="V52" s="126"/>
      <c r="W52" s="126"/>
      <c r="X52" s="128" t="str">
        <f>IFERROR(IF(AND(Q51="Probabilidad",Q52="Probabilidad"),(Z51-(+Z51*T52)),IF(Q52="Probabilidad",(I51-(+I51*T52)),IF(Q52="Impacto",Z51,""))),"")</f>
        <v/>
      </c>
      <c r="Y52" s="129" t="str">
        <f t="shared" si="1"/>
        <v/>
      </c>
      <c r="Z52" s="130" t="str">
        <f t="shared" ref="Z52:Z56" si="54">+X52</f>
        <v/>
      </c>
      <c r="AA52" s="129" t="str">
        <f t="shared" si="3"/>
        <v/>
      </c>
      <c r="AB52" s="130" t="str">
        <f>IFERROR(IF(AND(Q51="Impacto",Q52="Impacto"),(AB45-(+AB45*T52)),IF(Q52="Impacto",($M$51-(+$M$51*T52)),IF(Q52="Probabilidad",AB45,""))),"")</f>
        <v/>
      </c>
      <c r="AC52" s="131" t="str">
        <f t="shared" ref="AC52:AC53" si="55">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3</v>
      </c>
      <c r="P53" s="136"/>
      <c r="Q53" s="125" t="str">
        <f>IF(OR(R53="Preventivo",R53="Detectivo"),"Probabilidad",IF(R53="Correctivo","Impacto",""))</f>
        <v/>
      </c>
      <c r="R53" s="126"/>
      <c r="S53" s="126"/>
      <c r="T53" s="127" t="str">
        <f t="shared" si="53"/>
        <v/>
      </c>
      <c r="U53" s="126"/>
      <c r="V53" s="126"/>
      <c r="W53" s="126"/>
      <c r="X53" s="128" t="str">
        <f>IFERROR(IF(AND(Q52="Probabilidad",Q53="Probabilidad"),(Z52-(+Z52*T53)),IF(AND(Q52="Impacto",Q53="Probabilidad"),(Z51-(+Z51*T53)),IF(Q53="Impacto",Z52,""))),"")</f>
        <v/>
      </c>
      <c r="Y53" s="129" t="str">
        <f t="shared" si="1"/>
        <v/>
      </c>
      <c r="Z53" s="130" t="str">
        <f t="shared" si="54"/>
        <v/>
      </c>
      <c r="AA53" s="129" t="str">
        <f t="shared" si="3"/>
        <v/>
      </c>
      <c r="AB53" s="130" t="str">
        <f>IFERROR(IF(AND(Q52="Impacto",Q53="Impacto"),(AB52-(+AB52*T53)),IF(AND(Q52="Probabilidad",Q53="Impacto"),(AB51-(+AB51*T53)),IF(Q53="Probabilidad",AB52,""))),"")</f>
        <v/>
      </c>
      <c r="AC53" s="131" t="str">
        <f t="shared" si="55"/>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4</v>
      </c>
      <c r="P54" s="124"/>
      <c r="Q54" s="125" t="str">
        <f t="shared" ref="Q54:Q56" si="56">IF(OR(R54="Preventivo",R54="Detectivo"),"Probabilidad",IF(R54="Correctivo","Impacto",""))</f>
        <v/>
      </c>
      <c r="R54" s="126"/>
      <c r="S54" s="126"/>
      <c r="T54" s="127" t="str">
        <f t="shared" si="53"/>
        <v/>
      </c>
      <c r="U54" s="126"/>
      <c r="V54" s="126"/>
      <c r="W54" s="126"/>
      <c r="X54" s="128" t="str">
        <f t="shared" ref="X54:X56" si="57">IFERROR(IF(AND(Q53="Probabilidad",Q54="Probabilidad"),(Z53-(+Z53*T54)),IF(AND(Q53="Impacto",Q54="Probabilidad"),(Z52-(+Z52*T54)),IF(Q54="Impacto",Z53,""))),"")</f>
        <v/>
      </c>
      <c r="Y54" s="129" t="str">
        <f t="shared" si="1"/>
        <v/>
      </c>
      <c r="Z54" s="130" t="str">
        <f t="shared" si="54"/>
        <v/>
      </c>
      <c r="AA54" s="129" t="str">
        <f t="shared" si="3"/>
        <v/>
      </c>
      <c r="AB54" s="130" t="str">
        <f t="shared" ref="AB54:AB56" si="58">IFERROR(IF(AND(Q53="Impacto",Q54="Impacto"),(AB53-(+AB53*T54)),IF(AND(Q53="Probabilidad",Q54="Impacto"),(AB52-(+AB52*T54)),IF(Q54="Probabilidad",AB53,""))),"")</f>
        <v/>
      </c>
      <c r="AC54" s="131" t="str">
        <f>IFERROR(IF(OR(AND(Y54="Muy Baja",AA54="Leve"),AND(Y54="Muy Baja",AA54="Menor"),AND(Y54="Baja",AA54="Leve")),"Bajo",IF(OR(AND(Y54="Muy baja",AA54="Moderado"),AND(Y54="Baja",AA54="Menor"),AND(Y54="Baja",AA54="Moderado"),AND(Y54="Media",AA54="Leve"),AND(Y54="Media",AA54="Menor"),AND(Y54="Media",AA54="Moderado"),AND(Y54="Alta",AA54="Leve"),AND(Y54="Alta",AA54="Menor")),"Moderado",IF(OR(AND(Y54="Muy Baja",AA54="Mayor"),AND(Y54="Baja",AA54="Mayor"),AND(Y54="Media",AA54="Mayor"),AND(Y54="Alta",AA54="Moderado"),AND(Y54="Alta",AA54="Mayor"),AND(Y54="Muy Alta",AA54="Leve"),AND(Y54="Muy Alta",AA54="Menor"),AND(Y54="Muy Alta",AA54="Moderado"),AND(Y54="Muy Alta",AA54="Mayor")),"Alto",IF(OR(AND(Y54="Muy Baja",AA54="Catastrófico"),AND(Y54="Baja",AA54="Catastrófico"),AND(Y54="Media",AA54="Catastrófico"),AND(Y54="Alta",AA54="Catastrófico"),AND(Y54="Muy Alta",AA54="Catastrófico")),"Extremo","")))),"")</f>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5</v>
      </c>
      <c r="P55" s="124"/>
      <c r="Q55" s="125" t="str">
        <f t="shared" si="56"/>
        <v/>
      </c>
      <c r="R55" s="126"/>
      <c r="S55" s="126"/>
      <c r="T55" s="127" t="str">
        <f t="shared" si="53"/>
        <v/>
      </c>
      <c r="U55" s="126"/>
      <c r="V55" s="126"/>
      <c r="W55" s="126"/>
      <c r="X55" s="128" t="str">
        <f t="shared" si="57"/>
        <v/>
      </c>
      <c r="Y55" s="129" t="str">
        <f t="shared" si="1"/>
        <v/>
      </c>
      <c r="Z55" s="130" t="str">
        <f t="shared" si="54"/>
        <v/>
      </c>
      <c r="AA55" s="129" t="str">
        <f t="shared" si="3"/>
        <v/>
      </c>
      <c r="AB55" s="130" t="str">
        <f t="shared" si="58"/>
        <v/>
      </c>
      <c r="AC55" s="131" t="str">
        <f t="shared" ref="AC55:AC56" si="59">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4"/>
      <c r="B56" s="193"/>
      <c r="C56" s="193"/>
      <c r="D56" s="193"/>
      <c r="E56" s="217"/>
      <c r="F56" s="193"/>
      <c r="G56" s="196"/>
      <c r="H56" s="205"/>
      <c r="I56" s="208"/>
      <c r="J56" s="211"/>
      <c r="K56" s="208">
        <f ca="1">IF(NOT(ISERROR(MATCH(J56,_xlfn.ANCHORARRAY(E67),0))),I69&amp;"Por favor no seleccionar los criterios de impacto",J56)</f>
        <v>0</v>
      </c>
      <c r="L56" s="205"/>
      <c r="M56" s="208"/>
      <c r="N56" s="199"/>
      <c r="O56" s="123">
        <v>6</v>
      </c>
      <c r="P56" s="124"/>
      <c r="Q56" s="125" t="str">
        <f t="shared" si="56"/>
        <v/>
      </c>
      <c r="R56" s="126"/>
      <c r="S56" s="126"/>
      <c r="T56" s="127" t="str">
        <f t="shared" si="53"/>
        <v/>
      </c>
      <c r="U56" s="126"/>
      <c r="V56" s="126"/>
      <c r="W56" s="126"/>
      <c r="X56" s="128" t="str">
        <f t="shared" si="57"/>
        <v/>
      </c>
      <c r="Y56" s="129" t="str">
        <f t="shared" si="1"/>
        <v/>
      </c>
      <c r="Z56" s="130" t="str">
        <f t="shared" si="54"/>
        <v/>
      </c>
      <c r="AA56" s="129" t="str">
        <f t="shared" si="3"/>
        <v/>
      </c>
      <c r="AB56" s="130" t="str">
        <f t="shared" si="58"/>
        <v/>
      </c>
      <c r="AC56" s="131" t="str">
        <f t="shared" si="59"/>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2">
        <v>10</v>
      </c>
      <c r="B57" s="191"/>
      <c r="C57" s="191"/>
      <c r="D57" s="191"/>
      <c r="E57" s="215"/>
      <c r="F57" s="191"/>
      <c r="G57" s="194"/>
      <c r="H57" s="203" t="str">
        <f>IF(G57&lt;=0,"",IF(G57&lt;=2,"Muy Baja",IF(G57&lt;=24,"Baja",IF(G57&lt;=500,"Media",IF(G57&lt;=5000,"Alta","Muy Alta")))))</f>
        <v/>
      </c>
      <c r="I57" s="206" t="str">
        <f>IF(H57="","",IF(H57="Muy Baja",0.2,IF(H57="Baja",0.4,IF(H57="Media",0.6,IF(H57="Alta",0.8,IF(H57="Muy Alta",1,))))))</f>
        <v/>
      </c>
      <c r="J57" s="209"/>
      <c r="K57" s="206">
        <f ca="1">IF(NOT(ISERROR(MATCH(J57,'Tabla Impacto'!$B$221:$B$223,0))),'Tabla Impacto'!$F$223&amp;"Por favor no seleccionar los criterios de impacto(Afectación Económica o presupuestal y Pérdida Reputacional)",J57)</f>
        <v>0</v>
      </c>
      <c r="L57" s="203" t="str">
        <f ca="1">IF(OR(K57='Tabla Impacto'!$C$11,K57='Tabla Impacto'!$D$11),"Leve",IF(OR(K57='Tabla Impacto'!$C$12,K57='Tabla Impacto'!$D$12),"Menor",IF(OR(K57='Tabla Impacto'!$C$13,K57='Tabla Impacto'!$D$13),"Moderado",IF(OR(K57='Tabla Impacto'!$C$14,K57='Tabla Impacto'!$D$14),"Mayor",IF(OR(K57='Tabla Impacto'!$C$15,K57='Tabla Impacto'!$D$15),"Catastrófico","")))))</f>
        <v/>
      </c>
      <c r="M57" s="206" t="str">
        <f ca="1">IF(L57="","",IF(L57="Leve",0.2,IF(L57="Menor",0.4,IF(L57="Moderado",0.6,IF(L57="Mayor",0.8,IF(L57="Catastrófico",1,))))))</f>
        <v/>
      </c>
      <c r="N57" s="197" t="str">
        <f ca="1">IF(OR(AND(H57="Muy Baja",L57="Leve"),AND(H57="Muy Baja",L57="Menor"),AND(H57="Baja",L57="Leve")),"Bajo",IF(OR(AND(H57="Muy baja",L57="Moderado"),AND(H57="Baja",L57="Menor"),AND(H57="Baja",L57="Moderado"),AND(H57="Media",L57="Leve"),AND(H57="Media",L57="Menor"),AND(H57="Media",L57="Moderado"),AND(H57="Alta",L57="Leve"),AND(H57="Alta",L57="Menor")),"Moderado",IF(OR(AND(H57="Muy Baja",L57="Mayor"),AND(H57="Baja",L57="Mayor"),AND(H57="Media",L57="Mayor"),AND(H57="Alta",L57="Moderado"),AND(H57="Alta",L57="Mayor"),AND(H57="Muy Alta",L57="Leve"),AND(H57="Muy Alta",L57="Menor"),AND(H57="Muy Alta",L57="Moderado"),AND(H57="Muy Alta",L57="Mayor")),"Alto",IF(OR(AND(H57="Muy Baja",L57="Catastrófico"),AND(H57="Baja",L57="Catastrófico"),AND(H57="Media",L57="Catastrófico"),AND(H57="Alta",L57="Catastrófico"),AND(H57="Muy Alta",L57="Catastrófico")),"Extremo",""))))</f>
        <v/>
      </c>
      <c r="O57" s="123">
        <v>1</v>
      </c>
      <c r="P57" s="124"/>
      <c r="Q57" s="125" t="str">
        <f>IF(OR(R57="Preventivo",R57="Detectivo"),"Probabilidad",IF(R57="Correctivo","Impacto",""))</f>
        <v/>
      </c>
      <c r="R57" s="126"/>
      <c r="S57" s="126"/>
      <c r="T57" s="127" t="str">
        <f>IF(AND(R57="Preventivo",S57="Automático"),"50%",IF(AND(R57="Preventivo",S57="Manual"),"40%",IF(AND(R57="Detectivo",S57="Automático"),"40%",IF(AND(R57="Detectivo",S57="Manual"),"30%",IF(AND(R57="Correctivo",S57="Automático"),"35%",IF(AND(R57="Correctivo",S57="Manual"),"25%",""))))))</f>
        <v/>
      </c>
      <c r="U57" s="126"/>
      <c r="V57" s="126"/>
      <c r="W57" s="126"/>
      <c r="X57" s="128" t="str">
        <f>IFERROR(IF(Q57="Probabilidad",(I57-(+I57*T57)),IF(Q57="Impacto",I57,"")),"")</f>
        <v/>
      </c>
      <c r="Y57" s="129" t="str">
        <f>IFERROR(IF(X57="","",IF(X57&lt;=0.2,"Muy Baja",IF(X57&lt;=0.4,"Baja",IF(X57&lt;=0.6,"Media",IF(X57&lt;=0.8,"Alta","Muy Alta"))))),"")</f>
        <v/>
      </c>
      <c r="Z57" s="130" t="str">
        <f>+X57</f>
        <v/>
      </c>
      <c r="AA57" s="129" t="str">
        <f>IFERROR(IF(AB57="","",IF(AB57&lt;=0.2,"Leve",IF(AB57&lt;=0.4,"Menor",IF(AB57&lt;=0.6,"Moderado",IF(AB57&lt;=0.8,"Mayor","Catastrófico"))))),"")</f>
        <v/>
      </c>
      <c r="AB57" s="130" t="str">
        <f>IFERROR(IF(Q57="Impacto",(M57-(+M57*T57)),IF(Q57="Probabilidad",M57,"")),"")</f>
        <v/>
      </c>
      <c r="AC57" s="131" t="str">
        <f>IFERROR(IF(OR(AND(Y57="Muy Baja",AA57="Leve"),AND(Y57="Muy Baja",AA57="Menor"),AND(Y57="Baja",AA57="Leve")),"Bajo",IF(OR(AND(Y57="Muy baja",AA57="Moderado"),AND(Y57="Baja",AA57="Menor"),AND(Y57="Baja",AA57="Moderado"),AND(Y57="Media",AA57="Leve"),AND(Y57="Media",AA57="Menor"),AND(Y57="Media",AA57="Moderado"),AND(Y57="Alta",AA57="Leve"),AND(Y57="Alta",AA57="Menor")),"Moderado",IF(OR(AND(Y57="Muy Baja",AA57="Mayor"),AND(Y57="Baja",AA57="Mayor"),AND(Y57="Media",AA57="Mayor"),AND(Y57="Alta",AA57="Moderado"),AND(Y57="Alta",AA57="Mayor"),AND(Y57="Muy Alta",AA57="Leve"),AND(Y57="Muy Alta",AA57="Menor"),AND(Y57="Muy Alta",AA57="Moderado"),AND(Y57="Muy Alta",AA57="Mayor")),"Alto",IF(OR(AND(Y57="Muy Baja",AA57="Catastrófico"),AND(Y57="Baja",AA57="Catastrófico"),AND(Y57="Media",AA57="Catastrófico"),AND(Y57="Alta",AA57="Catastrófico"),AND(Y57="Muy Alta",AA57="Catastrófico")),"Extremo","")))),"")</f>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3"/>
      <c r="B58" s="192"/>
      <c r="C58" s="192"/>
      <c r="D58" s="192"/>
      <c r="E58" s="216"/>
      <c r="F58" s="192"/>
      <c r="G58" s="195"/>
      <c r="H58" s="204"/>
      <c r="I58" s="207"/>
      <c r="J58" s="210"/>
      <c r="K58" s="207">
        <f ca="1">IF(NOT(ISERROR(MATCH(J58,_xlfn.ANCHORARRAY(E69),0))),I71&amp;"Por favor no seleccionar los criterios de impacto",J58)</f>
        <v>0</v>
      </c>
      <c r="L58" s="204"/>
      <c r="M58" s="207"/>
      <c r="N58" s="198"/>
      <c r="O58" s="123">
        <v>2</v>
      </c>
      <c r="P58" s="124"/>
      <c r="Q58" s="125" t="str">
        <f>IF(OR(R58="Preventivo",R58="Detectivo"),"Probabilidad",IF(R58="Correctivo","Impacto",""))</f>
        <v/>
      </c>
      <c r="R58" s="126"/>
      <c r="S58" s="126"/>
      <c r="T58" s="127" t="str">
        <f t="shared" ref="T58:T62" si="60">IF(AND(R58="Preventivo",S58="Automático"),"50%",IF(AND(R58="Preventivo",S58="Manual"),"40%",IF(AND(R58="Detectivo",S58="Automático"),"40%",IF(AND(R58="Detectivo",S58="Manual"),"30%",IF(AND(R58="Correctivo",S58="Automático"),"35%",IF(AND(R58="Correctivo",S58="Manual"),"25%",""))))))</f>
        <v/>
      </c>
      <c r="U58" s="126"/>
      <c r="V58" s="126"/>
      <c r="W58" s="126"/>
      <c r="X58" s="128" t="str">
        <f>IFERROR(IF(AND(Q57="Probabilidad",Q58="Probabilidad"),(Z57-(+Z57*T58)),IF(Q58="Probabilidad",(I57-(+I57*T58)),IF(Q58="Impacto",Z57,""))),"")</f>
        <v/>
      </c>
      <c r="Y58" s="129" t="str">
        <f t="shared" si="1"/>
        <v/>
      </c>
      <c r="Z58" s="130" t="str">
        <f t="shared" ref="Z58:Z62" si="61">+X58</f>
        <v/>
      </c>
      <c r="AA58" s="129" t="str">
        <f t="shared" si="3"/>
        <v/>
      </c>
      <c r="AB58" s="130" t="str">
        <f>IFERROR(IF(AND(Q57="Impacto",Q58="Impacto"),(AB51-(+AB51*T58)),IF(Q58="Impacto",($M$57-(+$M$57*T58)),IF(Q58="Probabilidad",AB51,""))),"")</f>
        <v/>
      </c>
      <c r="AC58" s="131" t="str">
        <f t="shared" ref="AC58:AC59" si="62">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3</v>
      </c>
      <c r="P59" s="136"/>
      <c r="Q59" s="125" t="str">
        <f>IF(OR(R59="Preventivo",R59="Detectivo"),"Probabilidad",IF(R59="Correctivo","Impacto",""))</f>
        <v/>
      </c>
      <c r="R59" s="126"/>
      <c r="S59" s="126"/>
      <c r="T59" s="127" t="str">
        <f t="shared" si="60"/>
        <v/>
      </c>
      <c r="U59" s="126"/>
      <c r="V59" s="126"/>
      <c r="W59" s="126"/>
      <c r="X59" s="128" t="str">
        <f>IFERROR(IF(AND(Q58="Probabilidad",Q59="Probabilidad"),(Z58-(+Z58*T59)),IF(AND(Q58="Impacto",Q59="Probabilidad"),(Z57-(+Z57*T59)),IF(Q59="Impacto",Z58,""))),"")</f>
        <v/>
      </c>
      <c r="Y59" s="129" t="str">
        <f t="shared" si="1"/>
        <v/>
      </c>
      <c r="Z59" s="130" t="str">
        <f t="shared" si="61"/>
        <v/>
      </c>
      <c r="AA59" s="129" t="str">
        <f t="shared" si="3"/>
        <v/>
      </c>
      <c r="AB59" s="130" t="str">
        <f>IFERROR(IF(AND(Q58="Impacto",Q59="Impacto"),(AB58-(+AB58*T59)),IF(AND(Q58="Probabilidad",Q59="Impacto"),(AB57-(+AB57*T59)),IF(Q59="Probabilidad",AB58,""))),"")</f>
        <v/>
      </c>
      <c r="AC59" s="131" t="str">
        <f t="shared" si="62"/>
        <v/>
      </c>
      <c r="AD59" s="132"/>
      <c r="AE59" s="133"/>
      <c r="AF59" s="134"/>
      <c r="AG59" s="135"/>
      <c r="AH59" s="135"/>
      <c r="AI59" s="133"/>
      <c r="AJ59" s="134"/>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4</v>
      </c>
      <c r="P60" s="124"/>
      <c r="Q60" s="125" t="str">
        <f t="shared" ref="Q60:Q62" si="63">IF(OR(R60="Preventivo",R60="Detectivo"),"Probabilidad",IF(R60="Correctivo","Impacto",""))</f>
        <v/>
      </c>
      <c r="R60" s="126"/>
      <c r="S60" s="126"/>
      <c r="T60" s="127" t="str">
        <f t="shared" si="60"/>
        <v/>
      </c>
      <c r="U60" s="126"/>
      <c r="V60" s="126"/>
      <c r="W60" s="126"/>
      <c r="X60" s="128" t="str">
        <f t="shared" ref="X60:X62" si="64">IFERROR(IF(AND(Q59="Probabilidad",Q60="Probabilidad"),(Z59-(+Z59*T60)),IF(AND(Q59="Impacto",Q60="Probabilidad"),(Z58-(+Z58*T60)),IF(Q60="Impacto",Z59,""))),"")</f>
        <v/>
      </c>
      <c r="Y60" s="129" t="str">
        <f t="shared" si="1"/>
        <v/>
      </c>
      <c r="Z60" s="130" t="str">
        <f t="shared" si="61"/>
        <v/>
      </c>
      <c r="AA60" s="129" t="str">
        <f t="shared" si="3"/>
        <v/>
      </c>
      <c r="AB60" s="130" t="str">
        <f t="shared" ref="AB60:AB62" si="65">IFERROR(IF(AND(Q59="Impacto",Q60="Impacto"),(AB59-(+AB59*T60)),IF(AND(Q59="Probabilidad",Q60="Impacto"),(AB58-(+AB58*T60)),IF(Q60="Probabilidad",AB59,""))),"")</f>
        <v/>
      </c>
      <c r="AC60" s="131" t="str">
        <f>IFERROR(IF(OR(AND(Y60="Muy Baja",AA60="Leve"),AND(Y60="Muy Baja",AA60="Menor"),AND(Y60="Baja",AA60="Leve")),"Bajo",IF(OR(AND(Y60="Muy baja",AA60="Moderado"),AND(Y60="Baja",AA60="Menor"),AND(Y60="Baja",AA60="Moderado"),AND(Y60="Media",AA60="Leve"),AND(Y60="Media",AA60="Menor"),AND(Y60="Media",AA60="Moderado"),AND(Y60="Alta",AA60="Leve"),AND(Y60="Alta",AA60="Menor")),"Moderado",IF(OR(AND(Y60="Muy Baja",AA60="Mayor"),AND(Y60="Baja",AA60="Mayor"),AND(Y60="Media",AA60="Mayor"),AND(Y60="Alta",AA60="Moderado"),AND(Y60="Alta",AA60="Mayor"),AND(Y60="Muy Alta",AA60="Leve"),AND(Y60="Muy Alta",AA60="Menor"),AND(Y60="Muy Alta",AA60="Moderado"),AND(Y60="Muy Alta",AA60="Mayor")),"Alto",IF(OR(AND(Y60="Muy Baja",AA60="Catastrófico"),AND(Y60="Baja",AA60="Catastrófico"),AND(Y60="Media",AA60="Catastrófico"),AND(Y60="Alta",AA60="Catastrófico"),AND(Y60="Muy Alta",AA60="Catastrófico")),"Extremo","")))),"")</f>
        <v/>
      </c>
      <c r="AD60" s="132"/>
      <c r="AE60" s="133"/>
      <c r="AF60" s="134"/>
      <c r="AG60" s="135"/>
      <c r="AH60" s="135"/>
      <c r="AI60" s="133"/>
      <c r="AJ60" s="134"/>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5</v>
      </c>
      <c r="P61" s="124"/>
      <c r="Q61" s="125" t="str">
        <f t="shared" si="63"/>
        <v/>
      </c>
      <c r="R61" s="126"/>
      <c r="S61" s="126"/>
      <c r="T61" s="127" t="str">
        <f t="shared" si="60"/>
        <v/>
      </c>
      <c r="U61" s="126"/>
      <c r="V61" s="126"/>
      <c r="W61" s="126"/>
      <c r="X61" s="128" t="str">
        <f t="shared" si="64"/>
        <v/>
      </c>
      <c r="Y61" s="129" t="str">
        <f t="shared" si="1"/>
        <v/>
      </c>
      <c r="Z61" s="130" t="str">
        <f t="shared" si="61"/>
        <v/>
      </c>
      <c r="AA61" s="129" t="str">
        <f t="shared" si="3"/>
        <v/>
      </c>
      <c r="AB61" s="130" t="str">
        <f t="shared" si="65"/>
        <v/>
      </c>
      <c r="AC61" s="131" t="str">
        <f t="shared" ref="AC61:AC62" si="66">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row>
    <row r="62" spans="1:68" ht="151.5" customHeight="1" x14ac:dyDescent="0.3">
      <c r="A62" s="214"/>
      <c r="B62" s="193"/>
      <c r="C62" s="193"/>
      <c r="D62" s="193"/>
      <c r="E62" s="217"/>
      <c r="F62" s="193"/>
      <c r="G62" s="196"/>
      <c r="H62" s="205"/>
      <c r="I62" s="208"/>
      <c r="J62" s="211"/>
      <c r="K62" s="208">
        <f ca="1">IF(NOT(ISERROR(MATCH(J62,_xlfn.ANCHORARRAY(E73),0))),I75&amp;"Por favor no seleccionar los criterios de impacto",J62)</f>
        <v>0</v>
      </c>
      <c r="L62" s="205"/>
      <c r="M62" s="208"/>
      <c r="N62" s="199"/>
      <c r="O62" s="123">
        <v>6</v>
      </c>
      <c r="P62" s="124"/>
      <c r="Q62" s="125" t="str">
        <f t="shared" si="63"/>
        <v/>
      </c>
      <c r="R62" s="126"/>
      <c r="S62" s="126"/>
      <c r="T62" s="127" t="str">
        <f t="shared" si="60"/>
        <v/>
      </c>
      <c r="U62" s="126"/>
      <c r="V62" s="126"/>
      <c r="W62" s="126"/>
      <c r="X62" s="128" t="str">
        <f t="shared" si="64"/>
        <v/>
      </c>
      <c r="Y62" s="129" t="str">
        <f t="shared" si="1"/>
        <v/>
      </c>
      <c r="Z62" s="130" t="str">
        <f t="shared" si="61"/>
        <v/>
      </c>
      <c r="AA62" s="129" t="str">
        <f t="shared" si="3"/>
        <v/>
      </c>
      <c r="AB62" s="130" t="str">
        <f t="shared" si="65"/>
        <v/>
      </c>
      <c r="AC62" s="131" t="str">
        <f t="shared" si="66"/>
        <v/>
      </c>
      <c r="AD62" s="132"/>
      <c r="AE62" s="133"/>
      <c r="AF62" s="134"/>
      <c r="AG62" s="135"/>
      <c r="AH62" s="135"/>
      <c r="AI62" s="133"/>
      <c r="AJ62" s="134"/>
    </row>
    <row r="63" spans="1:68" ht="49.5" customHeight="1" x14ac:dyDescent="0.3">
      <c r="A63" s="6"/>
      <c r="B63" s="200" t="s">
        <v>131</v>
      </c>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2"/>
    </row>
    <row r="65" spans="2:2" s="1" customFormat="1" x14ac:dyDescent="0.3">
      <c r="B65" s="24" t="s">
        <v>143</v>
      </c>
    </row>
  </sheetData>
  <dataConsolidate/>
  <mergeCells count="171">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3"/>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M10:M13"/>
    <mergeCell ref="N10:N13"/>
    <mergeCell ref="G10:G13"/>
    <mergeCell ref="H10:H13"/>
    <mergeCell ref="I10:I13"/>
    <mergeCell ref="J10:J13"/>
    <mergeCell ref="K10:K13"/>
    <mergeCell ref="L10:L13"/>
    <mergeCell ref="A10:A13"/>
    <mergeCell ref="B10:B13"/>
    <mergeCell ref="C10:C13"/>
    <mergeCell ref="D10:D13"/>
    <mergeCell ref="E10:E13"/>
    <mergeCell ref="D15:D20"/>
    <mergeCell ref="E15:E20"/>
    <mergeCell ref="L15:L20"/>
    <mergeCell ref="M15:M20"/>
    <mergeCell ref="N15:N20"/>
    <mergeCell ref="A21:A26"/>
    <mergeCell ref="B21:B26"/>
    <mergeCell ref="C21:C26"/>
    <mergeCell ref="D21:D26"/>
    <mergeCell ref="E21:E26"/>
    <mergeCell ref="F21:F26"/>
    <mergeCell ref="G21:G26"/>
    <mergeCell ref="F15:F20"/>
    <mergeCell ref="G15:G20"/>
    <mergeCell ref="H15:H20"/>
    <mergeCell ref="I15:I20"/>
    <mergeCell ref="J15:J20"/>
    <mergeCell ref="K15:K20"/>
    <mergeCell ref="N21:N26"/>
    <mergeCell ref="H21:H26"/>
    <mergeCell ref="I21:I26"/>
    <mergeCell ref="J21:J26"/>
    <mergeCell ref="K21:K26"/>
    <mergeCell ref="L21:L26"/>
    <mergeCell ref="M21:M26"/>
    <mergeCell ref="A15:A20"/>
    <mergeCell ref="B15:B20"/>
    <mergeCell ref="C15:C20"/>
    <mergeCell ref="M27:M32"/>
    <mergeCell ref="N27:N32"/>
    <mergeCell ref="A33:A38"/>
    <mergeCell ref="B33:B38"/>
    <mergeCell ref="C33:C38"/>
    <mergeCell ref="D33:D38"/>
    <mergeCell ref="E33:E38"/>
    <mergeCell ref="L33:L38"/>
    <mergeCell ref="M33:M38"/>
    <mergeCell ref="N33:N38"/>
    <mergeCell ref="H33:H38"/>
    <mergeCell ref="I33:I38"/>
    <mergeCell ref="J33:J38"/>
    <mergeCell ref="K33:K38"/>
    <mergeCell ref="A27:A32"/>
    <mergeCell ref="B27:B32"/>
    <mergeCell ref="C27:C32"/>
    <mergeCell ref="D27:D32"/>
    <mergeCell ref="E27:E32"/>
    <mergeCell ref="F27:F32"/>
    <mergeCell ref="G27:G32"/>
    <mergeCell ref="H27:H32"/>
    <mergeCell ref="I27:I32"/>
    <mergeCell ref="D39:D44"/>
    <mergeCell ref="E39:E44"/>
    <mergeCell ref="F39:F44"/>
    <mergeCell ref="G39:G44"/>
    <mergeCell ref="F33:F38"/>
    <mergeCell ref="G33:G38"/>
    <mergeCell ref="J27:J32"/>
    <mergeCell ref="K27:K32"/>
    <mergeCell ref="L27:L32"/>
    <mergeCell ref="N39:N44"/>
    <mergeCell ref="A45:A50"/>
    <mergeCell ref="B45:B50"/>
    <mergeCell ref="C45:C50"/>
    <mergeCell ref="D45:D50"/>
    <mergeCell ref="E45:E50"/>
    <mergeCell ref="F45:F50"/>
    <mergeCell ref="G45:G50"/>
    <mergeCell ref="H45:H50"/>
    <mergeCell ref="I45:I50"/>
    <mergeCell ref="H39:H44"/>
    <mergeCell ref="I39:I44"/>
    <mergeCell ref="J39:J44"/>
    <mergeCell ref="K39:K44"/>
    <mergeCell ref="L39:L44"/>
    <mergeCell ref="M39:M44"/>
    <mergeCell ref="J45:J50"/>
    <mergeCell ref="K45:K50"/>
    <mergeCell ref="L45:L50"/>
    <mergeCell ref="M45:M50"/>
    <mergeCell ref="N45:N50"/>
    <mergeCell ref="A39:A44"/>
    <mergeCell ref="B39:B44"/>
    <mergeCell ref="C39:C44"/>
    <mergeCell ref="A51:A56"/>
    <mergeCell ref="B51:B56"/>
    <mergeCell ref="C51:C56"/>
    <mergeCell ref="D51:D56"/>
    <mergeCell ref="E51:E56"/>
    <mergeCell ref="A57:A62"/>
    <mergeCell ref="B57:B62"/>
    <mergeCell ref="C57:C62"/>
    <mergeCell ref="D57:D62"/>
    <mergeCell ref="E57:E62"/>
    <mergeCell ref="F57:F62"/>
    <mergeCell ref="G57:G62"/>
    <mergeCell ref="F51:F56"/>
    <mergeCell ref="G51:G56"/>
    <mergeCell ref="N57:N62"/>
    <mergeCell ref="B63:AJ63"/>
    <mergeCell ref="H57:H62"/>
    <mergeCell ref="I57:I62"/>
    <mergeCell ref="J57:J62"/>
    <mergeCell ref="K57:K62"/>
    <mergeCell ref="L57:L62"/>
    <mergeCell ref="M57:M62"/>
    <mergeCell ref="L51:L56"/>
    <mergeCell ref="M51:M56"/>
    <mergeCell ref="N51:N56"/>
    <mergeCell ref="H51:H56"/>
    <mergeCell ref="I51:I56"/>
    <mergeCell ref="J51:J56"/>
    <mergeCell ref="K51:K56"/>
  </mergeCells>
  <conditionalFormatting sqref="H10 Y10:Y13 Y15:Y62">
    <cfRule type="cellIs" dxfId="1022" priority="256" operator="equal">
      <formula>"Muy Alta"</formula>
    </cfRule>
    <cfRule type="cellIs" dxfId="1021" priority="257" operator="equal">
      <formula>"Alta"</formula>
    </cfRule>
    <cfRule type="cellIs" dxfId="1020" priority="258" operator="equal">
      <formula>"Media"</formula>
    </cfRule>
    <cfRule type="cellIs" dxfId="1019" priority="259" operator="equal">
      <formula>"Baja"</formula>
    </cfRule>
    <cfRule type="cellIs" dxfId="1018" priority="260" operator="equal">
      <formula>"Muy Baja"</formula>
    </cfRule>
  </conditionalFormatting>
  <conditionalFormatting sqref="H15">
    <cfRule type="cellIs" dxfId="1017" priority="210" operator="equal">
      <formula>"Muy Alta"</formula>
    </cfRule>
    <cfRule type="cellIs" dxfId="1016" priority="211" operator="equal">
      <formula>"Alta"</formula>
    </cfRule>
    <cfRule type="cellIs" dxfId="1015" priority="212" operator="equal">
      <formula>"Media"</formula>
    </cfRule>
    <cfRule type="cellIs" dxfId="1014" priority="213" operator="equal">
      <formula>"Baja"</formula>
    </cfRule>
    <cfRule type="cellIs" dxfId="1013" priority="214" operator="equal">
      <formula>"Muy Baja"</formula>
    </cfRule>
  </conditionalFormatting>
  <conditionalFormatting sqref="H21">
    <cfRule type="cellIs" dxfId="1012" priority="187" operator="equal">
      <formula>"Muy Alta"</formula>
    </cfRule>
    <cfRule type="cellIs" dxfId="1011" priority="188" operator="equal">
      <formula>"Alta"</formula>
    </cfRule>
    <cfRule type="cellIs" dxfId="1010" priority="189" operator="equal">
      <formula>"Media"</formula>
    </cfRule>
    <cfRule type="cellIs" dxfId="1009" priority="190" operator="equal">
      <formula>"Baja"</formula>
    </cfRule>
    <cfRule type="cellIs" dxfId="1008" priority="191" operator="equal">
      <formula>"Muy Baja"</formula>
    </cfRule>
  </conditionalFormatting>
  <conditionalFormatting sqref="H27">
    <cfRule type="cellIs" dxfId="1007" priority="164" operator="equal">
      <formula>"Muy Alta"</formula>
    </cfRule>
    <cfRule type="cellIs" dxfId="1006" priority="165" operator="equal">
      <formula>"Alta"</formula>
    </cfRule>
    <cfRule type="cellIs" dxfId="1005" priority="166" operator="equal">
      <formula>"Media"</formula>
    </cfRule>
    <cfRule type="cellIs" dxfId="1004" priority="167" operator="equal">
      <formula>"Baja"</formula>
    </cfRule>
    <cfRule type="cellIs" dxfId="1003" priority="168" operator="equal">
      <formula>"Muy Baja"</formula>
    </cfRule>
  </conditionalFormatting>
  <conditionalFormatting sqref="H33">
    <cfRule type="cellIs" dxfId="1002" priority="141" operator="equal">
      <formula>"Muy Alta"</formula>
    </cfRule>
    <cfRule type="cellIs" dxfId="1001" priority="142" operator="equal">
      <formula>"Alta"</formula>
    </cfRule>
    <cfRule type="cellIs" dxfId="1000" priority="143" operator="equal">
      <formula>"Media"</formula>
    </cfRule>
    <cfRule type="cellIs" dxfId="999" priority="144" operator="equal">
      <formula>"Baja"</formula>
    </cfRule>
    <cfRule type="cellIs" dxfId="998" priority="145" operator="equal">
      <formula>"Muy Baja"</formula>
    </cfRule>
  </conditionalFormatting>
  <conditionalFormatting sqref="H39">
    <cfRule type="cellIs" dxfId="997" priority="118" operator="equal">
      <formula>"Muy Alta"</formula>
    </cfRule>
    <cfRule type="cellIs" dxfId="996" priority="119" operator="equal">
      <formula>"Alta"</formula>
    </cfRule>
    <cfRule type="cellIs" dxfId="995" priority="120" operator="equal">
      <formula>"Media"</formula>
    </cfRule>
    <cfRule type="cellIs" dxfId="994" priority="121" operator="equal">
      <formula>"Baja"</formula>
    </cfRule>
    <cfRule type="cellIs" dxfId="993" priority="122" operator="equal">
      <formula>"Muy Baja"</formula>
    </cfRule>
  </conditionalFormatting>
  <conditionalFormatting sqref="H45">
    <cfRule type="cellIs" dxfId="992" priority="95" operator="equal">
      <formula>"Muy Alta"</formula>
    </cfRule>
    <cfRule type="cellIs" dxfId="991" priority="96" operator="equal">
      <formula>"Alta"</formula>
    </cfRule>
    <cfRule type="cellIs" dxfId="990" priority="97" operator="equal">
      <formula>"Media"</formula>
    </cfRule>
    <cfRule type="cellIs" dxfId="989" priority="98" operator="equal">
      <formula>"Baja"</formula>
    </cfRule>
    <cfRule type="cellIs" dxfId="988" priority="99" operator="equal">
      <formula>"Muy Baja"</formula>
    </cfRule>
  </conditionalFormatting>
  <conditionalFormatting sqref="H51">
    <cfRule type="cellIs" dxfId="987" priority="72" operator="equal">
      <formula>"Muy Alta"</formula>
    </cfRule>
    <cfRule type="cellIs" dxfId="986" priority="73" operator="equal">
      <formula>"Alta"</formula>
    </cfRule>
    <cfRule type="cellIs" dxfId="985" priority="74" operator="equal">
      <formula>"Media"</formula>
    </cfRule>
    <cfRule type="cellIs" dxfId="984" priority="75" operator="equal">
      <formula>"Baja"</formula>
    </cfRule>
    <cfRule type="cellIs" dxfId="983" priority="76" operator="equal">
      <formula>"Muy Baja"</formula>
    </cfRule>
  </conditionalFormatting>
  <conditionalFormatting sqref="H57">
    <cfRule type="cellIs" dxfId="982" priority="49" operator="equal">
      <formula>"Muy Alta"</formula>
    </cfRule>
    <cfRule type="cellIs" dxfId="981" priority="50" operator="equal">
      <formula>"Alta"</formula>
    </cfRule>
    <cfRule type="cellIs" dxfId="980" priority="51" operator="equal">
      <formula>"Media"</formula>
    </cfRule>
    <cfRule type="cellIs" dxfId="979" priority="52" operator="equal">
      <formula>"Baja"</formula>
    </cfRule>
    <cfRule type="cellIs" dxfId="978" priority="53" operator="equal">
      <formula>"Muy Baja"</formula>
    </cfRule>
  </conditionalFormatting>
  <conditionalFormatting sqref="K10:K13 K15:K62">
    <cfRule type="containsText" dxfId="977" priority="30" operator="containsText" text="❌">
      <formula>NOT(ISERROR(SEARCH("❌",K10)))</formula>
    </cfRule>
  </conditionalFormatting>
  <conditionalFormatting sqref="L10 L15 L21 L27 L33 L39 L45 L51 L57 AA10:AA13 AA15:AA62">
    <cfRule type="cellIs" dxfId="976" priority="251" operator="equal">
      <formula>"Catastrófico"</formula>
    </cfRule>
    <cfRule type="cellIs" dxfId="975" priority="252" operator="equal">
      <formula>"Mayor"</formula>
    </cfRule>
    <cfRule type="cellIs" dxfId="974" priority="253" operator="equal">
      <formula>"Moderado"</formula>
    </cfRule>
    <cfRule type="cellIs" dxfId="973" priority="254" operator="equal">
      <formula>"Menor"</formula>
    </cfRule>
    <cfRule type="cellIs" dxfId="972" priority="255" operator="equal">
      <formula>"Leve"</formula>
    </cfRule>
  </conditionalFormatting>
  <conditionalFormatting sqref="N10 AC10:AC13 AC15:AC62">
    <cfRule type="cellIs" dxfId="971" priority="247" operator="equal">
      <formula>"Extremo"</formula>
    </cfRule>
    <cfRule type="cellIs" dxfId="970" priority="248" operator="equal">
      <formula>"Alto"</formula>
    </cfRule>
    <cfRule type="cellIs" dxfId="969" priority="249" operator="equal">
      <formula>"Moderado"</formula>
    </cfRule>
    <cfRule type="cellIs" dxfId="968" priority="250" operator="equal">
      <formula>"Bajo"</formula>
    </cfRule>
  </conditionalFormatting>
  <conditionalFormatting sqref="N15">
    <cfRule type="cellIs" dxfId="967" priority="206" operator="equal">
      <formula>"Extremo"</formula>
    </cfRule>
    <cfRule type="cellIs" dxfId="966" priority="207" operator="equal">
      <formula>"Alto"</formula>
    </cfRule>
    <cfRule type="cellIs" dxfId="965" priority="208" operator="equal">
      <formula>"Moderado"</formula>
    </cfRule>
    <cfRule type="cellIs" dxfId="964" priority="209" operator="equal">
      <formula>"Bajo"</formula>
    </cfRule>
  </conditionalFormatting>
  <conditionalFormatting sqref="N21">
    <cfRule type="cellIs" dxfId="963" priority="183" operator="equal">
      <formula>"Extremo"</formula>
    </cfRule>
    <cfRule type="cellIs" dxfId="962" priority="184" operator="equal">
      <formula>"Alto"</formula>
    </cfRule>
    <cfRule type="cellIs" dxfId="961" priority="185" operator="equal">
      <formula>"Moderado"</formula>
    </cfRule>
    <cfRule type="cellIs" dxfId="960" priority="186" operator="equal">
      <formula>"Bajo"</formula>
    </cfRule>
  </conditionalFormatting>
  <conditionalFormatting sqref="N27">
    <cfRule type="cellIs" dxfId="959" priority="160" operator="equal">
      <formula>"Extremo"</formula>
    </cfRule>
    <cfRule type="cellIs" dxfId="958" priority="161" operator="equal">
      <formula>"Alto"</formula>
    </cfRule>
    <cfRule type="cellIs" dxfId="957" priority="162" operator="equal">
      <formula>"Moderado"</formula>
    </cfRule>
    <cfRule type="cellIs" dxfId="956" priority="163" operator="equal">
      <formula>"Bajo"</formula>
    </cfRule>
  </conditionalFormatting>
  <conditionalFormatting sqref="N33">
    <cfRule type="cellIs" dxfId="955" priority="137" operator="equal">
      <formula>"Extremo"</formula>
    </cfRule>
    <cfRule type="cellIs" dxfId="954" priority="138" operator="equal">
      <formula>"Alto"</formula>
    </cfRule>
    <cfRule type="cellIs" dxfId="953" priority="139" operator="equal">
      <formula>"Moderado"</formula>
    </cfRule>
    <cfRule type="cellIs" dxfId="952" priority="140" operator="equal">
      <formula>"Bajo"</formula>
    </cfRule>
  </conditionalFormatting>
  <conditionalFormatting sqref="N39">
    <cfRule type="cellIs" dxfId="951" priority="114" operator="equal">
      <formula>"Extremo"</formula>
    </cfRule>
    <cfRule type="cellIs" dxfId="950" priority="115" operator="equal">
      <formula>"Alto"</formula>
    </cfRule>
    <cfRule type="cellIs" dxfId="949" priority="116" operator="equal">
      <formula>"Moderado"</formula>
    </cfRule>
    <cfRule type="cellIs" dxfId="948" priority="117" operator="equal">
      <formula>"Bajo"</formula>
    </cfRule>
  </conditionalFormatting>
  <conditionalFormatting sqref="N45">
    <cfRule type="cellIs" dxfId="947" priority="91" operator="equal">
      <formula>"Extremo"</formula>
    </cfRule>
    <cfRule type="cellIs" dxfId="946" priority="92" operator="equal">
      <formula>"Alto"</formula>
    </cfRule>
    <cfRule type="cellIs" dxfId="945" priority="93" operator="equal">
      <formula>"Moderado"</formula>
    </cfRule>
    <cfRule type="cellIs" dxfId="944" priority="94" operator="equal">
      <formula>"Bajo"</formula>
    </cfRule>
  </conditionalFormatting>
  <conditionalFormatting sqref="N51">
    <cfRule type="cellIs" dxfId="943" priority="68" operator="equal">
      <formula>"Extremo"</formula>
    </cfRule>
    <cfRule type="cellIs" dxfId="942" priority="69" operator="equal">
      <formula>"Alto"</formula>
    </cfRule>
    <cfRule type="cellIs" dxfId="941" priority="70" operator="equal">
      <formula>"Moderado"</formula>
    </cfRule>
    <cfRule type="cellIs" dxfId="940" priority="71" operator="equal">
      <formula>"Bajo"</formula>
    </cfRule>
  </conditionalFormatting>
  <conditionalFormatting sqref="N57">
    <cfRule type="cellIs" dxfId="939" priority="45" operator="equal">
      <formula>"Extremo"</formula>
    </cfRule>
    <cfRule type="cellIs" dxfId="938" priority="46" operator="equal">
      <formula>"Alto"</formula>
    </cfRule>
    <cfRule type="cellIs" dxfId="937" priority="47" operator="equal">
      <formula>"Moderado"</formula>
    </cfRule>
    <cfRule type="cellIs" dxfId="936" priority="48" operator="equal">
      <formula>"Bajo"</formula>
    </cfRule>
  </conditionalFormatting>
  <conditionalFormatting sqref="H14">
    <cfRule type="cellIs" dxfId="935" priority="25" operator="equal">
      <formula>"Muy Alta"</formula>
    </cfRule>
    <cfRule type="cellIs" dxfId="934" priority="26" operator="equal">
      <formula>"Alta"</formula>
    </cfRule>
    <cfRule type="cellIs" dxfId="933" priority="27" operator="equal">
      <formula>"Media"</formula>
    </cfRule>
    <cfRule type="cellIs" dxfId="932" priority="28" operator="equal">
      <formula>"Baja"</formula>
    </cfRule>
    <cfRule type="cellIs" dxfId="931" priority="29" operator="equal">
      <formula>"Muy Baja"</formula>
    </cfRule>
  </conditionalFormatting>
  <conditionalFormatting sqref="K14">
    <cfRule type="containsText" dxfId="930" priority="1" operator="containsText" text="❌">
      <formula>NOT(ISERROR(SEARCH("❌",K14)))</formula>
    </cfRule>
  </conditionalFormatting>
  <conditionalFormatting sqref="L14">
    <cfRule type="cellIs" dxfId="929" priority="20" operator="equal">
      <formula>"Catastrófico"</formula>
    </cfRule>
    <cfRule type="cellIs" dxfId="928" priority="21" operator="equal">
      <formula>"Mayor"</formula>
    </cfRule>
    <cfRule type="cellIs" dxfId="927" priority="22" operator="equal">
      <formula>"Moderado"</formula>
    </cfRule>
    <cfRule type="cellIs" dxfId="926" priority="23" operator="equal">
      <formula>"Menor"</formula>
    </cfRule>
    <cfRule type="cellIs" dxfId="925" priority="24" operator="equal">
      <formula>"Leve"</formula>
    </cfRule>
  </conditionalFormatting>
  <conditionalFormatting sqref="N14">
    <cfRule type="cellIs" dxfId="924" priority="16" operator="equal">
      <formula>"Extremo"</formula>
    </cfRule>
    <cfRule type="cellIs" dxfId="923" priority="17" operator="equal">
      <formula>"Alto"</formula>
    </cfRule>
    <cfRule type="cellIs" dxfId="922" priority="18" operator="equal">
      <formula>"Moderado"</formula>
    </cfRule>
    <cfRule type="cellIs" dxfId="921" priority="19" operator="equal">
      <formula>"Bajo"</formula>
    </cfRule>
  </conditionalFormatting>
  <conditionalFormatting sqref="Y14">
    <cfRule type="cellIs" dxfId="920" priority="11" operator="equal">
      <formula>"Muy Alta"</formula>
    </cfRule>
    <cfRule type="cellIs" dxfId="919" priority="12" operator="equal">
      <formula>"Alta"</formula>
    </cfRule>
    <cfRule type="cellIs" dxfId="918" priority="13" operator="equal">
      <formula>"Media"</formula>
    </cfRule>
    <cfRule type="cellIs" dxfId="917" priority="14" operator="equal">
      <formula>"Baja"</formula>
    </cfRule>
    <cfRule type="cellIs" dxfId="916" priority="15" operator="equal">
      <formula>"Muy Baja"</formula>
    </cfRule>
  </conditionalFormatting>
  <conditionalFormatting sqref="AA14">
    <cfRule type="cellIs" dxfId="915" priority="6" operator="equal">
      <formula>"Catastrófico"</formula>
    </cfRule>
    <cfRule type="cellIs" dxfId="914" priority="7" operator="equal">
      <formula>"Mayor"</formula>
    </cfRule>
    <cfRule type="cellIs" dxfId="913" priority="8" operator="equal">
      <formula>"Moderado"</formula>
    </cfRule>
    <cfRule type="cellIs" dxfId="912" priority="9" operator="equal">
      <formula>"Menor"</formula>
    </cfRule>
    <cfRule type="cellIs" dxfId="911" priority="10" operator="equal">
      <formula>"Leve"</formula>
    </cfRule>
  </conditionalFormatting>
  <conditionalFormatting sqref="AC14">
    <cfRule type="cellIs" dxfId="910" priority="2" operator="equal">
      <formula>"Extremo"</formula>
    </cfRule>
    <cfRule type="cellIs" dxfId="909" priority="3" operator="equal">
      <formula>"Alto"</formula>
    </cfRule>
    <cfRule type="cellIs" dxfId="908" priority="4" operator="equal">
      <formula>"Moderado"</formula>
    </cfRule>
    <cfRule type="cellIs" dxfId="907"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C5A5F5F4-EA05-4271-9DFD-621FD019B841}">
          <x14:formula1>
            <xm:f>'Opciones Tratamiento'!$B$9:$B$10</xm:f>
          </x14:formula1>
          <xm:sqref>AJ18:AJ19 AJ21:AJ22 AJ24:AJ25 AJ27:AJ28 AJ30:AJ31 AJ33:AJ34 AJ36:AJ37 AJ39:AJ40 AJ42:AJ43 AJ45:AJ46 AJ48:AJ49 AJ51:AJ52 AJ54:AJ55 AJ57:AJ58 AJ60:AJ61 AJ10:AJ12 AJ14:AJ16</xm:sqref>
        </x14:dataValidation>
        <x14:dataValidation type="custom" allowBlank="1" showInputMessage="1" showErrorMessage="1" error="Recuerde que las acciones se generan bajo la medida de mitigar el riesgo" xr:uid="{0B08792E-1295-4076-B1C4-E8993D800907}">
          <x14:formula1>
            <xm:f>IF(OR(AD10='Opciones Tratamiento'!$B$2,AD10='Opciones Tratamiento'!$B$3,AD10='Opciones Tratamiento'!$B$4),ISBLANK(AD10),ISTEXT(AD10))</xm:f>
          </x14:formula1>
          <xm:sqref>AI10:AI13 AI15:AI62</xm:sqref>
        </x14:dataValidation>
        <x14:dataValidation type="custom" allowBlank="1" showInputMessage="1" showErrorMessage="1" error="Recuerde que las acciones se generan bajo la medida de mitigar el riesgo" xr:uid="{06797B6C-E72E-4C44-BDA4-096871E84291}">
          <x14:formula1>
            <xm:f>IF(OR(AD10='Opciones Tratamiento'!$B$2,AD10='Opciones Tratamiento'!$B$3,AD10='Opciones Tratamiento'!$B$4),ISBLANK(AD10),ISTEXT(AD10))</xm:f>
          </x14:formula1>
          <xm:sqref>AH10:AH13 AH15:AH62</xm:sqref>
        </x14:dataValidation>
        <x14:dataValidation type="custom" allowBlank="1" showInputMessage="1" showErrorMessage="1" error="Recuerde que las acciones se generan bajo la medida de mitigar el riesgo" xr:uid="{D3EEA8F1-AAFB-43CE-8441-F01D17A7A1F0}">
          <x14:formula1>
            <xm:f>IF(OR(AD10='Opciones Tratamiento'!$B$2,AD10='Opciones Tratamiento'!$B$3,AD10='Opciones Tratamiento'!$B$4),ISBLANK(AD10),ISTEXT(AD10))</xm:f>
          </x14:formula1>
          <xm:sqref>AG10:AG13 AG15:AG62</xm:sqref>
        </x14:dataValidation>
        <x14:dataValidation type="custom" allowBlank="1" showInputMessage="1" showErrorMessage="1" error="Recuerde que las acciones se generan bajo la medida de mitigar el riesgo" xr:uid="{4039BD72-FEE6-4ACB-B8F2-78D47B25EF63}">
          <x14:formula1>
            <xm:f>IF(OR(AD10='Opciones Tratamiento'!$B$2,AD10='Opciones Tratamiento'!$B$3,AD10='Opciones Tratamiento'!$B$4),ISBLANK(AD10),ISTEXT(AD10))</xm:f>
          </x14:formula1>
          <xm:sqref>AF10:AF62</xm:sqref>
        </x14:dataValidation>
        <x14:dataValidation type="custom" allowBlank="1" showInputMessage="1" showErrorMessage="1" error="Recuerde que las acciones se generan bajo la medida de mitigar el riesgo" xr:uid="{344C4026-774A-4A87-8E5B-1A98664878CC}">
          <x14:formula1>
            <xm:f>IF(OR(AD10='Opciones Tratamiento'!$B$2,AD10='Opciones Tratamiento'!$B$3,AD10='Opciones Tratamiento'!$B$4),ISBLANK(AD10),ISTEXT(AD10))</xm:f>
          </x14:formula1>
          <xm:sqref>AE10:AE13 AE15:AE62</xm:sqref>
        </x14:dataValidation>
        <x14:dataValidation type="list" allowBlank="1" showInputMessage="1" showErrorMessage="1" xr:uid="{3DA0CA20-6B8B-4AA9-A574-C47116DFF126}">
          <x14:formula1>
            <xm:f>'Tabla Impacto'!$F$210:$F$221</xm:f>
          </x14:formula1>
          <xm:sqref>J10:J13 J15:J62</xm:sqref>
        </x14:dataValidation>
        <x14:dataValidation type="list" allowBlank="1" showInputMessage="1" showErrorMessage="1" xr:uid="{1C1B6034-C69D-42A4-B888-DB1F49976D14}">
          <x14:formula1>
            <xm:f>'Opciones Tratamiento'!$B$2:$B$5</xm:f>
          </x14:formula1>
          <xm:sqref>AD10:AD13 AD15:AD62</xm:sqref>
        </x14:dataValidation>
        <x14:dataValidation type="list" allowBlank="1" showInputMessage="1" showErrorMessage="1" xr:uid="{6D3CCDCB-6528-4581-9E59-AD297DB56214}">
          <x14:formula1>
            <xm:f>'Opciones Tratamiento'!$E$2:$E$4</xm:f>
          </x14:formula1>
          <xm:sqref>B10:B62</xm:sqref>
        </x14:dataValidation>
        <x14:dataValidation type="list" allowBlank="1" showInputMessage="1" showErrorMessage="1" xr:uid="{B17E2F68-47E0-441E-B3F1-07334F200888}">
          <x14:formula1>
            <xm:f>'Opciones Tratamiento'!$B$13:$B$19</xm:f>
          </x14:formula1>
          <xm:sqref>F10:F13 F15:F62</xm:sqref>
        </x14:dataValidation>
        <x14:dataValidation type="list" allowBlank="1" showInputMessage="1" showErrorMessage="1" xr:uid="{1231C47D-A9FC-493B-A6FA-CC7ECF77FF51}">
          <x14:formula1>
            <xm:f>'Tabla Valoración controles'!$D$13:$D$14</xm:f>
          </x14:formula1>
          <xm:sqref>W10:W13 W15:W62</xm:sqref>
        </x14:dataValidation>
        <x14:dataValidation type="list" allowBlank="1" showInputMessage="1" showErrorMessage="1" xr:uid="{5F254013-379B-4EE0-A40E-350A475A9CF1}">
          <x14:formula1>
            <xm:f>'Tabla Valoración controles'!$D$11:$D$12</xm:f>
          </x14:formula1>
          <xm:sqref>V10:V13 V15:V62</xm:sqref>
        </x14:dataValidation>
        <x14:dataValidation type="list" allowBlank="1" showInputMessage="1" showErrorMessage="1" xr:uid="{9EB10ABC-ADEF-4EC6-BE98-E1F1A1A8DE9F}">
          <x14:formula1>
            <xm:f>'Tabla Valoración controles'!$D$9:$D$10</xm:f>
          </x14:formula1>
          <xm:sqref>U10:U13 U15:U62</xm:sqref>
        </x14:dataValidation>
        <x14:dataValidation type="list" allowBlank="1" showInputMessage="1" showErrorMessage="1" xr:uid="{F08E2C05-8274-4822-9D78-6490A1225989}">
          <x14:formula1>
            <xm:f>'Tabla Valoración controles'!$D$7:$D$8</xm:f>
          </x14:formula1>
          <xm:sqref>S10:S13 S15:S62</xm:sqref>
        </x14:dataValidation>
        <x14:dataValidation type="list" allowBlank="1" showInputMessage="1" showErrorMessage="1" xr:uid="{F8A06A4A-A673-4E9F-9F6A-6355CFA261E9}">
          <x14:formula1>
            <xm:f>'Tabla Valoración controles'!$D$4:$D$6</xm:f>
          </x14:formula1>
          <xm:sqref>R10:R13 R15:R62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EBE77-E1FA-4311-8688-A48A43846143}">
  <sheetPr>
    <tabColor rgb="FF7030A0"/>
  </sheetPr>
  <dimension ref="A1:BP69"/>
  <sheetViews>
    <sheetView topLeftCell="L7" zoomScale="59" zoomScaleNormal="59" workbookViewId="0">
      <selection activeCell="O14" sqref="O14"/>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338</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339</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340</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134</v>
      </c>
      <c r="C10" s="191" t="s">
        <v>268</v>
      </c>
      <c r="D10" s="191" t="s">
        <v>231</v>
      </c>
      <c r="E10" s="215" t="s">
        <v>267</v>
      </c>
      <c r="F10" s="191" t="s">
        <v>123</v>
      </c>
      <c r="G10" s="194">
        <v>26</v>
      </c>
      <c r="H10" s="203" t="str">
        <f>IF(G10&lt;=0,"",IF(G10&lt;=2,"Muy Baja",IF(G10&lt;=24,"Baja",IF(G10&lt;=500,"Media",IF(G10&lt;=5000,"Alta","Muy Alta")))))</f>
        <v>Media</v>
      </c>
      <c r="I10" s="206">
        <f>IF(H10="","",IF(H10="Muy Baja",0.2,IF(H10="Baja",0.4,IF(H10="Media",0.6,IF(H10="Alta",0.8,IF(H10="Muy Alta",1,))))))</f>
        <v>0.6</v>
      </c>
      <c r="J10" s="209" t="s">
        <v>155</v>
      </c>
      <c r="K10" s="206"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03"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06">
        <f ca="1">IF(L10="","",IF(L10="Leve",0.2,IF(L10="Menor",0.4,IF(L10="Moderado",0.6,IF(L10="Mayor",0.8,IF(L10="Catastrófico",1,))))))</f>
        <v>0.6</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275</v>
      </c>
      <c r="AF10" s="133" t="s">
        <v>249</v>
      </c>
      <c r="AG10" s="135">
        <v>45291</v>
      </c>
      <c r="AH10" s="135">
        <v>45265</v>
      </c>
      <c r="AI10" s="133" t="s">
        <v>367</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hidden="1"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5</v>
      </c>
      <c r="P11" s="124"/>
      <c r="Q11" s="125" t="str">
        <f t="shared" ref="Q11:Q12" si="0">IF(OR(R11="Preventivo",R11="Detectivo"),"Probabilidad",IF(R11="Correctivo","Impacto",""))</f>
        <v/>
      </c>
      <c r="R11" s="126"/>
      <c r="S11" s="126"/>
      <c r="T11" s="127" t="str">
        <f t="shared" ref="T11:T12" si="1">IF(AND(R11="Preventivo",S11="Automático"),"50%",IF(AND(R11="Preventivo",S11="Manual"),"40%",IF(AND(R11="Detectivo",S11="Automático"),"40%",IF(AND(R11="Detectivo",S11="Manual"),"30%",IF(AND(R11="Correctivo",S11="Automático"),"35%",IF(AND(R11="Correctivo",S11="Manual"),"25%",""))))))</f>
        <v/>
      </c>
      <c r="U11" s="126"/>
      <c r="V11" s="126"/>
      <c r="W11" s="126"/>
      <c r="X11" s="128" t="str">
        <f>IFERROR(IF(AND(#REF!="Probabilidad",Q11="Probabilidad"),(#REF!-(+#REF!*T11)),IF(AND(#REF!="Impacto",Q11="Probabilidad"),(#REF!-(+#REF!*T11)),IF(Q11="Impacto",#REF!,""))),"")</f>
        <v/>
      </c>
      <c r="Y11" s="129" t="str">
        <f t="shared" ref="Y11:Y66" si="2">IFERROR(IF(X11="","",IF(X11&lt;=0.2,"Muy Baja",IF(X11&lt;=0.4,"Baja",IF(X11&lt;=0.6,"Media",IF(X11&lt;=0.8,"Alta","Muy Alta"))))),"")</f>
        <v/>
      </c>
      <c r="Z11" s="130" t="str">
        <f t="shared" ref="Z11:Z12" si="3">+X11</f>
        <v/>
      </c>
      <c r="AA11" s="129" t="str">
        <f t="shared" ref="AA11:AA66" si="4">IFERROR(IF(AB11="","",IF(AB11&lt;=0.2,"Leve",IF(AB11&lt;=0.4,"Menor",IF(AB11&lt;=0.6,"Moderado",IF(AB11&lt;=0.8,"Mayor","Catastrófico"))))),"")</f>
        <v/>
      </c>
      <c r="AB11" s="130" t="str">
        <f>IFERROR(IF(AND(#REF!="Impacto",Q11="Impacto"),(#REF!-(+#REF!*T11)),IF(AND(#REF!="Probabilidad",Q11="Impacto"),(#REF!-(+#REF!*T11)),IF(Q11="Probabilidad",#REF!,""))),"")</f>
        <v/>
      </c>
      <c r="AC11" s="131" t="str">
        <f t="shared" ref="AC11:AC12" si="5">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4"/>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hidden="1" customHeight="1" x14ac:dyDescent="0.3">
      <c r="A12" s="214"/>
      <c r="B12" s="193"/>
      <c r="C12" s="193"/>
      <c r="D12" s="193"/>
      <c r="E12" s="217"/>
      <c r="F12" s="193"/>
      <c r="G12" s="196"/>
      <c r="H12" s="205"/>
      <c r="I12" s="208"/>
      <c r="J12" s="211"/>
      <c r="K12" s="208">
        <f ca="1">IF(NOT(ISERROR(MATCH(J12,_xlfn.ANCHORARRAY(E23),0))),I25&amp;"Por favor no seleccionar los criterios de impacto",J12)</f>
        <v>0</v>
      </c>
      <c r="L12" s="205"/>
      <c r="M12" s="208"/>
      <c r="N12" s="199"/>
      <c r="O12" s="123">
        <v>6</v>
      </c>
      <c r="P12" s="124"/>
      <c r="Q12" s="125" t="str">
        <f t="shared" si="0"/>
        <v/>
      </c>
      <c r="R12" s="126"/>
      <c r="S12" s="126"/>
      <c r="T12" s="127" t="str">
        <f t="shared" si="1"/>
        <v/>
      </c>
      <c r="U12" s="126"/>
      <c r="V12" s="126"/>
      <c r="W12" s="126"/>
      <c r="X12" s="128" t="str">
        <f>IFERROR(IF(AND(Q11="Probabilidad",Q12="Probabilidad"),(Z11-(+Z11*T12)),IF(AND(Q11="Impacto",Q12="Probabilidad"),(#REF!-(+#REF!*T12)),IF(Q12="Impacto",Z11,""))),"")</f>
        <v/>
      </c>
      <c r="Y12" s="129" t="str">
        <f t="shared" si="2"/>
        <v/>
      </c>
      <c r="Z12" s="130" t="str">
        <f t="shared" si="3"/>
        <v/>
      </c>
      <c r="AA12" s="129" t="str">
        <f t="shared" si="4"/>
        <v/>
      </c>
      <c r="AB12" s="130" t="str">
        <f>IFERROR(IF(AND(Q11="Impacto",Q12="Impacto"),(AB11-(+AB11*T12)),IF(AND(Q11="Probabilidad",Q12="Impacto"),(#REF!-(+#REF!*T12)),IF(Q12="Probabilidad",AB11,""))),"")</f>
        <v/>
      </c>
      <c r="AC12" s="131" t="str">
        <f t="shared" si="5"/>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2">
        <v>2</v>
      </c>
      <c r="B13" s="191" t="s">
        <v>132</v>
      </c>
      <c r="C13" s="191" t="s">
        <v>390</v>
      </c>
      <c r="D13" s="191" t="s">
        <v>391</v>
      </c>
      <c r="E13" s="215" t="s">
        <v>389</v>
      </c>
      <c r="F13" s="191" t="s">
        <v>123</v>
      </c>
      <c r="G13" s="194">
        <v>22</v>
      </c>
      <c r="H13" s="203" t="str">
        <f>IF(G13&lt;=0,"",IF(G13&lt;=2,"Muy Baja",IF(G13&lt;=24,"Baja",IF(G13&lt;=500,"Media",IF(G13&lt;=5000,"Alta","Muy Alta")))))</f>
        <v>Baja</v>
      </c>
      <c r="I13" s="206">
        <f>IF(H13="","",IF(H13="Muy Baja",0.2,IF(H13="Baja",0.4,IF(H13="Media",0.6,IF(H13="Alta",0.8,IF(H13="Muy Alta",1,))))))</f>
        <v>0.4</v>
      </c>
      <c r="J13" s="209" t="s">
        <v>154</v>
      </c>
      <c r="K13" s="206" t="str">
        <f ca="1">IF(NOT(ISERROR(MATCH(J13,'Tabla Impacto'!$B$221:$B$223,0))),'Tabla Impacto'!$F$223&amp;"Por favor no seleccionar los criterios de impacto(Afectación Económica o presupuestal y Pérdida Reputacional)",J13)</f>
        <v xml:space="preserve">     El riesgo afecta la imagen de la entidad internamente, de conocimiento general, nivel interno, de junta dircetiva y accionistas y/o de provedores</v>
      </c>
      <c r="L13" s="203" t="str">
        <f ca="1">IF(OR(K13='Tabla Impacto'!$C$11,K13='Tabla Impacto'!$D$11),"Leve",IF(OR(K13='Tabla Impacto'!$C$12,K13='Tabla Impacto'!$D$12),"Menor",IF(OR(K13='Tabla Impacto'!$C$13,K13='Tabla Impacto'!$D$13),"Moderado",IF(OR(K13='Tabla Impacto'!$C$14,K13='Tabla Impacto'!$D$14),"Mayor",IF(OR(K13='Tabla Impacto'!$C$15,K13='Tabla Impacto'!$D$15),"Catastrófico","")))))</f>
        <v>Menor</v>
      </c>
      <c r="M13" s="206">
        <f ca="1">IF(L13="","",IF(L13="Leve",0.2,IF(L13="Menor",0.4,IF(L13="Moderado",0.6,IF(L13="Mayor",0.8,IF(L13="Catastrófico",1,))))))</f>
        <v>0.4</v>
      </c>
      <c r="N13" s="197" t="str">
        <f ca="1">IF(OR(AND(H13="Muy Baja",L13="Leve"),AND(H13="Muy Baja",L13="Menor"),AND(H13="Baja",L13="Leve")),"Bajo",IF(OR(AND(H13="Muy baja",L13="Moderado"),AND(H13="Baja",L13="Menor"),AND(H13="Baja",L13="Moderado"),AND(H13="Media",L13="Leve"),AND(H13="Media",L13="Menor"),AND(H13="Media",L13="Moderado"),AND(H13="Alta",L13="Leve"),AND(H13="Alta",L13="Menor")),"Moderado",IF(OR(AND(H13="Muy Baja",L13="Mayor"),AND(H13="Baja",L13="Mayor"),AND(H13="Media",L13="Mayor"),AND(H13="Alta",L13="Moderado"),AND(H13="Alta",L13="Mayor"),AND(H13="Muy Alta",L13="Leve"),AND(H13="Muy Alta",L13="Menor"),AND(H13="Muy Alta",L13="Moderado"),AND(H13="Muy Alta",L13="Mayor")),"Alto",IF(OR(AND(H13="Muy Baja",L13="Catastrófico"),AND(H13="Baja",L13="Catastrófico"),AND(H13="Media",L13="Catastrófico"),AND(H13="Alta",L13="Catastrófico"),AND(H13="Muy Alta",L13="Catastrófico")),"Extremo",""))))</f>
        <v>Moderado</v>
      </c>
      <c r="O13" s="123">
        <v>1</v>
      </c>
      <c r="P13" s="124" t="s">
        <v>392</v>
      </c>
      <c r="Q13" s="125" t="str">
        <f>IF(OR(R13="Preventivo",R13="Detectivo"),"Probabilidad",IF(R13="Correctivo","Impacto",""))</f>
        <v>Probabilidad</v>
      </c>
      <c r="R13" s="126" t="s">
        <v>14</v>
      </c>
      <c r="S13" s="126" t="s">
        <v>9</v>
      </c>
      <c r="T13" s="127" t="str">
        <f>IF(AND(R13="Preventivo",S13="Automático"),"50%",IF(AND(R13="Preventivo",S13="Manual"),"40%",IF(AND(R13="Detectivo",S13="Automático"),"40%",IF(AND(R13="Detectivo",S13="Manual"),"30%",IF(AND(R13="Correctivo",S13="Automático"),"35%",IF(AND(R13="Correctivo",S13="Manual"),"25%",""))))))</f>
        <v>40%</v>
      </c>
      <c r="U13" s="126" t="s">
        <v>19</v>
      </c>
      <c r="V13" s="126" t="s">
        <v>22</v>
      </c>
      <c r="W13" s="126" t="s">
        <v>119</v>
      </c>
      <c r="X13" s="128">
        <f>IFERROR(IF(Q13="Probabilidad",(I13-(+I13*T13)),IF(Q13="Impacto",I13,"")),"")</f>
        <v>0.24</v>
      </c>
      <c r="Y13" s="129" t="str">
        <f>IFERROR(IF(X13="","",IF(X13&lt;=0.2,"Muy Baja",IF(X13&lt;=0.4,"Baja",IF(X13&lt;=0.6,"Media",IF(X13&lt;=0.8,"Alta","Muy Alta"))))),"")</f>
        <v>Baja</v>
      </c>
      <c r="Z13" s="130">
        <f>+X13</f>
        <v>0.24</v>
      </c>
      <c r="AA13" s="129" t="str">
        <f ca="1">IFERROR(IF(AB13="","",IF(AB13&lt;=0.2,"Leve",IF(AB13&lt;=0.4,"Menor",IF(AB13&lt;=0.6,"Moderado",IF(AB13&lt;=0.8,"Mayor","Catastrófico"))))),"")</f>
        <v>Menor</v>
      </c>
      <c r="AB13" s="130">
        <f ca="1">IFERROR(IF(Q13="Impacto",(M13-(+M13*T13)),IF(Q13="Probabilidad",M13,"")),"")</f>
        <v>0.4</v>
      </c>
      <c r="AC13" s="131" t="str">
        <f ca="1">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Moderado</v>
      </c>
      <c r="AD13" s="132" t="s">
        <v>136</v>
      </c>
      <c r="AE13" s="133" t="s">
        <v>393</v>
      </c>
      <c r="AF13" s="133" t="s">
        <v>249</v>
      </c>
      <c r="AG13" s="135">
        <v>45291</v>
      </c>
      <c r="AH13" s="135">
        <v>45265</v>
      </c>
      <c r="AI13" s="133" t="s">
        <v>394</v>
      </c>
      <c r="AJ13" s="134"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195"/>
      <c r="H14" s="204"/>
      <c r="I14" s="207"/>
      <c r="J14" s="210"/>
      <c r="K14" s="207">
        <f ca="1">IF(NOT(ISERROR(MATCH(J14,_xlfn.ANCHORARRAY(E25),0))),I27&amp;"Por favor no seleccionar los criterios de impacto",J14)</f>
        <v>0</v>
      </c>
      <c r="L14" s="204"/>
      <c r="M14" s="207"/>
      <c r="N14" s="198"/>
      <c r="O14" s="123"/>
      <c r="P14" s="124"/>
      <c r="Q14" s="125" t="str">
        <f>IF(OR(R14="Preventivo",R14="Detectivo"),"Probabilidad",IF(R14="Correctivo","Impacto",""))</f>
        <v/>
      </c>
      <c r="R14" s="126"/>
      <c r="S14" s="126"/>
      <c r="T14" s="127" t="str">
        <f t="shared" ref="T14:T18" si="6">IF(AND(R14="Preventivo",S14="Automático"),"50%",IF(AND(R14="Preventivo",S14="Manual"),"40%",IF(AND(R14="Detectivo",S14="Automático"),"40%",IF(AND(R14="Detectivo",S14="Manual"),"30%",IF(AND(R14="Correctivo",S14="Automático"),"35%",IF(AND(R14="Correctivo",S14="Manual"),"25%",""))))))</f>
        <v/>
      </c>
      <c r="U14" s="126"/>
      <c r="V14" s="126"/>
      <c r="W14" s="126"/>
      <c r="X14" s="128" t="str">
        <f>IFERROR(IF(AND(Q13="Probabilidad",Q14="Probabilidad"),(Z13-(+Z13*T14)),IF(Q14="Probabilidad",(I13-(+I13*T14)),IF(Q14="Impacto",Z13,""))),"")</f>
        <v/>
      </c>
      <c r="Y14" s="129" t="str">
        <f t="shared" si="2"/>
        <v/>
      </c>
      <c r="Z14" s="130" t="str">
        <f t="shared" ref="Z14:Z18" si="7">+X14</f>
        <v/>
      </c>
      <c r="AA14" s="129" t="str">
        <f t="shared" si="4"/>
        <v/>
      </c>
      <c r="AB14" s="130" t="str">
        <f>IFERROR(IF(AND(Q13="Impacto",Q14="Impacto"),(AB10-(+AB10*T14)),IF(Q14="Impacto",($M$13-(+$M$13*T14)),IF(Q14="Probabilidad",AB10,""))),"")</f>
        <v/>
      </c>
      <c r="AC14" s="131" t="str">
        <f t="shared" ref="AC14:AC15" si="8">IFERROR(IF(OR(AND(Y14="Muy Baja",AA14="Leve"),AND(Y14="Muy Baja",AA14="Menor"),AND(Y14="Baja",AA14="Leve")),"Bajo",IF(OR(AND(Y14="Muy baja",AA14="Moderado"),AND(Y14="Baja",AA14="Menor"),AND(Y14="Baja",AA14="Moderado"),AND(Y14="Media",AA14="Leve"),AND(Y14="Media",AA14="Menor"),AND(Y14="Media",AA14="Moderado"),AND(Y14="Alta",AA14="Leve"),AND(Y14="Alta",AA14="Menor")),"Moderado",IF(OR(AND(Y14="Muy Baja",AA14="Mayor"),AND(Y14="Baja",AA14="Mayor"),AND(Y14="Media",AA14="Mayor"),AND(Y14="Alta",AA14="Moderado"),AND(Y14="Alta",AA14="Mayor"),AND(Y14="Muy Alta",AA14="Leve"),AND(Y14="Muy Alta",AA14="Menor"),AND(Y14="Muy Alta",AA14="Moderado"),AND(Y14="Muy Alta",AA14="Mayor")),"Alto",IF(OR(AND(Y14="Muy Baja",AA14="Catastrófico"),AND(Y14="Baja",AA14="Catastrófico"),AND(Y14="Media",AA14="Catastrófico"),AND(Y14="Alta",AA14="Catastrófico"),AND(Y14="Muy Alta",AA14="Catastrófico")),"Extremo","")))),"")</f>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3"/>
      <c r="B15" s="192"/>
      <c r="C15" s="192"/>
      <c r="D15" s="192"/>
      <c r="E15" s="216"/>
      <c r="F15" s="192"/>
      <c r="G15" s="195"/>
      <c r="H15" s="204"/>
      <c r="I15" s="207"/>
      <c r="J15" s="210"/>
      <c r="K15" s="207">
        <f ca="1">IF(NOT(ISERROR(MATCH(J15,_xlfn.ANCHORARRAY(E26),0))),I28&amp;"Por favor no seleccionar los criterios de impacto",J15)</f>
        <v>0</v>
      </c>
      <c r="L15" s="204"/>
      <c r="M15" s="207"/>
      <c r="N15" s="198"/>
      <c r="O15" s="123">
        <v>3</v>
      </c>
      <c r="P15" s="124"/>
      <c r="Q15" s="125" t="str">
        <f>IF(OR(R15="Preventivo",R15="Detectivo"),"Probabilidad",IF(R15="Correctivo","Impacto",""))</f>
        <v/>
      </c>
      <c r="R15" s="126"/>
      <c r="S15" s="126"/>
      <c r="T15" s="127" t="str">
        <f t="shared" si="6"/>
        <v/>
      </c>
      <c r="U15" s="126"/>
      <c r="V15" s="126"/>
      <c r="W15" s="126"/>
      <c r="X15" s="128" t="str">
        <f>IFERROR(IF(AND(Q14="Probabilidad",Q15="Probabilidad"),(Z14-(+Z14*T15)),IF(AND(Q14="Impacto",Q15="Probabilidad"),(Z13-(+Z13*T15)),IF(Q15="Impacto",Z14,""))),"")</f>
        <v/>
      </c>
      <c r="Y15" s="129" t="str">
        <f t="shared" si="2"/>
        <v/>
      </c>
      <c r="Z15" s="130" t="str">
        <f t="shared" si="7"/>
        <v/>
      </c>
      <c r="AA15" s="129" t="str">
        <f t="shared" si="4"/>
        <v/>
      </c>
      <c r="AB15" s="130" t="str">
        <f>IFERROR(IF(AND(Q14="Impacto",Q15="Impacto"),(AB14-(+AB14*T15)),IF(AND(Q14="Probabilidad",Q15="Impacto"),(AB13-(+AB13*T15)),IF(Q15="Probabilidad",AB14,""))),"")</f>
        <v/>
      </c>
      <c r="AC15" s="131" t="str">
        <f t="shared" si="8"/>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3"/>
      <c r="B16" s="192"/>
      <c r="C16" s="192"/>
      <c r="D16" s="192"/>
      <c r="E16" s="216"/>
      <c r="F16" s="192"/>
      <c r="G16" s="195"/>
      <c r="H16" s="204"/>
      <c r="I16" s="207"/>
      <c r="J16" s="210"/>
      <c r="K16" s="207">
        <f ca="1">IF(NOT(ISERROR(MATCH(J16,_xlfn.ANCHORARRAY(E27),0))),I29&amp;"Por favor no seleccionar los criterios de impacto",J16)</f>
        <v>0</v>
      </c>
      <c r="L16" s="204"/>
      <c r="M16" s="207"/>
      <c r="N16" s="198"/>
      <c r="O16" s="123">
        <v>4</v>
      </c>
      <c r="P16" s="136"/>
      <c r="Q16" s="125" t="str">
        <f t="shared" ref="Q16:Q18" si="9">IF(OR(R16="Preventivo",R16="Detectivo"),"Probabilidad",IF(R16="Correctivo","Impacto",""))</f>
        <v/>
      </c>
      <c r="R16" s="126"/>
      <c r="S16" s="126"/>
      <c r="T16" s="127" t="str">
        <f t="shared" si="6"/>
        <v/>
      </c>
      <c r="U16" s="126"/>
      <c r="V16" s="126"/>
      <c r="W16" s="126"/>
      <c r="X16" s="128" t="str">
        <f t="shared" ref="X16:X18" si="10">IFERROR(IF(AND(Q15="Probabilidad",Q16="Probabilidad"),(Z15-(+Z15*T16)),IF(AND(Q15="Impacto",Q16="Probabilidad"),(Z14-(+Z14*T16)),IF(Q16="Impacto",Z15,""))),"")</f>
        <v/>
      </c>
      <c r="Y16" s="129" t="str">
        <f t="shared" si="2"/>
        <v/>
      </c>
      <c r="Z16" s="130" t="str">
        <f t="shared" si="7"/>
        <v/>
      </c>
      <c r="AA16" s="129" t="str">
        <f t="shared" si="4"/>
        <v/>
      </c>
      <c r="AB16" s="130" t="str">
        <f t="shared" ref="AB16:AB18" si="11">IFERROR(IF(AND(Q15="Impacto",Q16="Impacto"),(AB15-(+AB15*T16)),IF(AND(Q15="Probabilidad",Q16="Impacto"),(AB14-(+AB14*T16)),IF(Q16="Probabilidad",AB15,""))),"")</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192"/>
      <c r="E17" s="216"/>
      <c r="F17" s="192"/>
      <c r="G17" s="195"/>
      <c r="H17" s="204"/>
      <c r="I17" s="207"/>
      <c r="J17" s="210"/>
      <c r="K17" s="207">
        <f ca="1">IF(NOT(ISERROR(MATCH(J17,_xlfn.ANCHORARRAY(E28),0))),I30&amp;"Por favor no seleccionar los criterios de impacto",J17)</f>
        <v>0</v>
      </c>
      <c r="L17" s="204"/>
      <c r="M17" s="207"/>
      <c r="N17" s="198"/>
      <c r="O17" s="123">
        <v>5</v>
      </c>
      <c r="P17" s="124"/>
      <c r="Q17" s="125" t="str">
        <f t="shared" si="9"/>
        <v/>
      </c>
      <c r="R17" s="126"/>
      <c r="S17" s="126"/>
      <c r="T17" s="127" t="str">
        <f t="shared" si="6"/>
        <v/>
      </c>
      <c r="U17" s="126"/>
      <c r="V17" s="126"/>
      <c r="W17" s="126"/>
      <c r="X17" s="128" t="str">
        <f t="shared" si="10"/>
        <v/>
      </c>
      <c r="Y17" s="129" t="str">
        <f t="shared" si="2"/>
        <v/>
      </c>
      <c r="Z17" s="130" t="str">
        <f t="shared" si="7"/>
        <v/>
      </c>
      <c r="AA17" s="129" t="str">
        <f t="shared" si="4"/>
        <v/>
      </c>
      <c r="AB17" s="130" t="str">
        <f t="shared" si="11"/>
        <v/>
      </c>
      <c r="AC17" s="131" t="str">
        <f t="shared" ref="AC17:AC18" si="12">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4"/>
      <c r="B18" s="193"/>
      <c r="C18" s="193"/>
      <c r="D18" s="193"/>
      <c r="E18" s="217"/>
      <c r="F18" s="193"/>
      <c r="G18" s="196"/>
      <c r="H18" s="205"/>
      <c r="I18" s="208"/>
      <c r="J18" s="211"/>
      <c r="K18" s="208">
        <f ca="1">IF(NOT(ISERROR(MATCH(J18,_xlfn.ANCHORARRAY(E29),0))),I31&amp;"Por favor no seleccionar los criterios de impacto",J18)</f>
        <v>0</v>
      </c>
      <c r="L18" s="205"/>
      <c r="M18" s="208"/>
      <c r="N18" s="199"/>
      <c r="O18" s="123">
        <v>6</v>
      </c>
      <c r="P18" s="124"/>
      <c r="Q18" s="125" t="str">
        <f t="shared" si="9"/>
        <v/>
      </c>
      <c r="R18" s="126"/>
      <c r="S18" s="126"/>
      <c r="T18" s="127" t="str">
        <f t="shared" si="6"/>
        <v/>
      </c>
      <c r="U18" s="126"/>
      <c r="V18" s="126"/>
      <c r="W18" s="126"/>
      <c r="X18" s="128" t="str">
        <f t="shared" si="10"/>
        <v/>
      </c>
      <c r="Y18" s="129" t="str">
        <f t="shared" si="2"/>
        <v/>
      </c>
      <c r="Z18" s="130" t="str">
        <f t="shared" si="7"/>
        <v/>
      </c>
      <c r="AA18" s="129" t="str">
        <f t="shared" si="4"/>
        <v/>
      </c>
      <c r="AB18" s="130" t="str">
        <f t="shared" si="11"/>
        <v/>
      </c>
      <c r="AC18" s="131" t="str">
        <f t="shared" si="12"/>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2">
        <v>3</v>
      </c>
      <c r="B19" s="191"/>
      <c r="C19" s="191"/>
      <c r="D19" s="191"/>
      <c r="E19" s="215"/>
      <c r="F19" s="191"/>
      <c r="G19" s="194"/>
      <c r="H19" s="203" t="str">
        <f>IF(G19&lt;=0,"",IF(G19&lt;=2,"Muy Baja",IF(G19&lt;=24,"Baja",IF(G19&lt;=500,"Media",IF(G19&lt;=5000,"Alta","Muy Alta")))))</f>
        <v/>
      </c>
      <c r="I19" s="206" t="str">
        <f>IF(H19="","",IF(H19="Muy Baja",0.2,IF(H19="Baja",0.4,IF(H19="Media",0.6,IF(H19="Alta",0.8,IF(H19="Muy Alta",1,))))))</f>
        <v/>
      </c>
      <c r="J19" s="209"/>
      <c r="K19" s="206">
        <f ca="1">IF(NOT(ISERROR(MATCH(J19,'Tabla Impacto'!$B$221:$B$223,0))),'Tabla Impacto'!$F$223&amp;"Por favor no seleccionar los criterios de impacto(Afectación Económica o presupuestal y Pérdida Reputacional)",J19)</f>
        <v>0</v>
      </c>
      <c r="L19" s="203" t="str">
        <f ca="1">IF(OR(K19='Tabla Impacto'!$C$11,K19='Tabla Impacto'!$D$11),"Leve",IF(OR(K19='Tabla Impacto'!$C$12,K19='Tabla Impacto'!$D$12),"Menor",IF(OR(K19='Tabla Impacto'!$C$13,K19='Tabla Impacto'!$D$13),"Moderado",IF(OR(K19='Tabla Impacto'!$C$14,K19='Tabla Impacto'!$D$14),"Mayor",IF(OR(K19='Tabla Impacto'!$C$15,K19='Tabla Impacto'!$D$15),"Catastrófico","")))))</f>
        <v/>
      </c>
      <c r="M19" s="206" t="str">
        <f ca="1">IF(L19="","",IF(L19="Leve",0.2,IF(L19="Menor",0.4,IF(L19="Moderado",0.6,IF(L19="Mayor",0.8,IF(L19="Catastrófico",1,))))))</f>
        <v/>
      </c>
      <c r="N19" s="197" t="str">
        <f ca="1">IF(OR(AND(H19="Muy Baja",L19="Leve"),AND(H19="Muy Baja",L19="Menor"),AND(H19="Baja",L19="Leve")),"Bajo",IF(OR(AND(H19="Muy baja",L19="Moderado"),AND(H19="Baja",L19="Menor"),AND(H19="Baja",L19="Moderado"),AND(H19="Media",L19="Leve"),AND(H19="Media",L19="Menor"),AND(H19="Media",L19="Moderado"),AND(H19="Alta",L19="Leve"),AND(H19="Alta",L19="Menor")),"Moderado",IF(OR(AND(H19="Muy Baja",L19="Mayor"),AND(H19="Baja",L19="Mayor"),AND(H19="Media",L19="Mayor"),AND(H19="Alta",L19="Moderado"),AND(H19="Alta",L19="Mayor"),AND(H19="Muy Alta",L19="Leve"),AND(H19="Muy Alta",L19="Menor"),AND(H19="Muy Alta",L19="Moderado"),AND(H19="Muy Alta",L19="Mayor")),"Alto",IF(OR(AND(H19="Muy Baja",L19="Catastrófico"),AND(H19="Baja",L19="Catastrófico"),AND(H19="Media",L19="Catastrófico"),AND(H19="Alta",L19="Catastrófico"),AND(H19="Muy Alta",L19="Catastrófico")),"Extremo",""))))</f>
        <v/>
      </c>
      <c r="O19" s="123">
        <v>1</v>
      </c>
      <c r="P19" s="124"/>
      <c r="Q19" s="125" t="str">
        <f>IF(OR(R19="Preventivo",R19="Detectivo"),"Probabilidad",IF(R19="Correctivo","Impacto",""))</f>
        <v/>
      </c>
      <c r="R19" s="126"/>
      <c r="S19" s="126"/>
      <c r="T19" s="127" t="str">
        <f>IF(AND(R19="Preventivo",S19="Automático"),"50%",IF(AND(R19="Preventivo",S19="Manual"),"40%",IF(AND(R19="Detectivo",S19="Automático"),"40%",IF(AND(R19="Detectivo",S19="Manual"),"30%",IF(AND(R19="Correctivo",S19="Automático"),"35%",IF(AND(R19="Correctivo",S19="Manual"),"25%",""))))))</f>
        <v/>
      </c>
      <c r="U19" s="126"/>
      <c r="V19" s="126"/>
      <c r="W19" s="126"/>
      <c r="X19" s="128" t="str">
        <f>IFERROR(IF(Q19="Probabilidad",(I19-(+I19*T19)),IF(Q19="Impacto",I19,"")),"")</f>
        <v/>
      </c>
      <c r="Y19" s="129" t="str">
        <f>IFERROR(IF(X19="","",IF(X19&lt;=0.2,"Muy Baja",IF(X19&lt;=0.4,"Baja",IF(X19&lt;=0.6,"Media",IF(X19&lt;=0.8,"Alta","Muy Alta"))))),"")</f>
        <v/>
      </c>
      <c r="Z19" s="130" t="str">
        <f>+X19</f>
        <v/>
      </c>
      <c r="AA19" s="129" t="str">
        <f>IFERROR(IF(AB19="","",IF(AB19&lt;=0.2,"Leve",IF(AB19&lt;=0.4,"Menor",IF(AB19&lt;=0.6,"Moderado",IF(AB19&lt;=0.8,"Mayor","Catastrófico"))))),"")</f>
        <v/>
      </c>
      <c r="AB19" s="130" t="str">
        <f>IFERROR(IF(Q19="Impacto",(M19-(+M19*T19)),IF(Q19="Probabilidad",M19,"")),"")</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192"/>
      <c r="E20" s="216"/>
      <c r="F20" s="192"/>
      <c r="G20" s="195"/>
      <c r="H20" s="204"/>
      <c r="I20" s="207"/>
      <c r="J20" s="210"/>
      <c r="K20" s="207">
        <f t="shared" ref="K20:K24" ca="1" si="13">IF(NOT(ISERROR(MATCH(J20,_xlfn.ANCHORARRAY(E31),0))),I33&amp;"Por favor no seleccionar los criterios de impacto",J20)</f>
        <v>0</v>
      </c>
      <c r="L20" s="204"/>
      <c r="M20" s="207"/>
      <c r="N20" s="198"/>
      <c r="O20" s="123">
        <v>2</v>
      </c>
      <c r="P20" s="124"/>
      <c r="Q20" s="125" t="str">
        <f>IF(OR(R20="Preventivo",R20="Detectivo"),"Probabilidad",IF(R20="Correctivo","Impacto",""))</f>
        <v/>
      </c>
      <c r="R20" s="126"/>
      <c r="S20" s="126"/>
      <c r="T20" s="127" t="str">
        <f t="shared" ref="T20:T24" si="14">IF(AND(R20="Preventivo",S20="Automático"),"50%",IF(AND(R20="Preventivo",S20="Manual"),"40%",IF(AND(R20="Detectivo",S20="Automático"),"40%",IF(AND(R20="Detectivo",S20="Manual"),"30%",IF(AND(R20="Correctivo",S20="Automático"),"35%",IF(AND(R20="Correctivo",S20="Manual"),"25%",""))))))</f>
        <v/>
      </c>
      <c r="U20" s="126"/>
      <c r="V20" s="126"/>
      <c r="W20" s="126"/>
      <c r="X20" s="137" t="str">
        <f>IFERROR(IF(AND(Q19="Probabilidad",Q20="Probabilidad"),(Z19-(+Z19*T20)),IF(Q20="Probabilidad",(I19-(+I19*T20)),IF(Q20="Impacto",Z19,""))),"")</f>
        <v/>
      </c>
      <c r="Y20" s="129" t="str">
        <f t="shared" si="2"/>
        <v/>
      </c>
      <c r="Z20" s="130" t="str">
        <f t="shared" ref="Z20:Z24" si="15">+X20</f>
        <v/>
      </c>
      <c r="AA20" s="129" t="str">
        <f t="shared" si="4"/>
        <v/>
      </c>
      <c r="AB20" s="130" t="str">
        <f>IFERROR(IF(AND(Q19="Impacto",Q20="Impacto"),(AB13-(+AB13*T20)),IF(Q20="Impacto",($M$19-(+$M$19*T20)),IF(Q20="Probabilidad",AB13,""))),"")</f>
        <v/>
      </c>
      <c r="AC20" s="131" t="str">
        <f t="shared" ref="AC20:AC21" si="16">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3"/>
      <c r="B21" s="192"/>
      <c r="C21" s="192"/>
      <c r="D21" s="192"/>
      <c r="E21" s="216"/>
      <c r="F21" s="192"/>
      <c r="G21" s="195"/>
      <c r="H21" s="204"/>
      <c r="I21" s="207"/>
      <c r="J21" s="210"/>
      <c r="K21" s="207">
        <f t="shared" ca="1" si="13"/>
        <v>0</v>
      </c>
      <c r="L21" s="204"/>
      <c r="M21" s="207"/>
      <c r="N21" s="198"/>
      <c r="O21" s="123">
        <v>3</v>
      </c>
      <c r="P21" s="136"/>
      <c r="Q21" s="125" t="str">
        <f>IF(OR(R21="Preventivo",R21="Detectivo"),"Probabilidad",IF(R21="Correctivo","Impacto",""))</f>
        <v/>
      </c>
      <c r="R21" s="126"/>
      <c r="S21" s="126"/>
      <c r="T21" s="127" t="str">
        <f t="shared" si="14"/>
        <v/>
      </c>
      <c r="U21" s="126"/>
      <c r="V21" s="126"/>
      <c r="W21" s="126"/>
      <c r="X21" s="128" t="str">
        <f>IFERROR(IF(AND(Q20="Probabilidad",Q21="Probabilidad"),(Z20-(+Z20*T21)),IF(AND(Q20="Impacto",Q21="Probabilidad"),(Z19-(+Z19*T21)),IF(Q21="Impacto",Z20,""))),"")</f>
        <v/>
      </c>
      <c r="Y21" s="129" t="str">
        <f t="shared" si="2"/>
        <v/>
      </c>
      <c r="Z21" s="130" t="str">
        <f t="shared" si="15"/>
        <v/>
      </c>
      <c r="AA21" s="129" t="str">
        <f t="shared" si="4"/>
        <v/>
      </c>
      <c r="AB21" s="130" t="str">
        <f>IFERROR(IF(AND(Q20="Impacto",Q21="Impacto"),(AB20-(+AB20*T21)),IF(AND(Q20="Probabilidad",Q21="Impacto"),(AB19-(+AB19*T21)),IF(Q21="Probabilidad",AB20,""))),"")</f>
        <v/>
      </c>
      <c r="AC21" s="131" t="str">
        <f t="shared" si="16"/>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3"/>
      <c r="B22" s="192"/>
      <c r="C22" s="192"/>
      <c r="D22" s="192"/>
      <c r="E22" s="216"/>
      <c r="F22" s="192"/>
      <c r="G22" s="195"/>
      <c r="H22" s="204"/>
      <c r="I22" s="207"/>
      <c r="J22" s="210"/>
      <c r="K22" s="207">
        <f t="shared" ca="1" si="13"/>
        <v>0</v>
      </c>
      <c r="L22" s="204"/>
      <c r="M22" s="207"/>
      <c r="N22" s="198"/>
      <c r="O22" s="123">
        <v>4</v>
      </c>
      <c r="P22" s="124"/>
      <c r="Q22" s="125" t="str">
        <f t="shared" ref="Q22:Q24" si="17">IF(OR(R22="Preventivo",R22="Detectivo"),"Probabilidad",IF(R22="Correctivo","Impacto",""))</f>
        <v/>
      </c>
      <c r="R22" s="126"/>
      <c r="S22" s="126"/>
      <c r="T22" s="127" t="str">
        <f t="shared" si="14"/>
        <v/>
      </c>
      <c r="U22" s="126"/>
      <c r="V22" s="126"/>
      <c r="W22" s="126"/>
      <c r="X22" s="128" t="str">
        <f t="shared" ref="X22:X24" si="18">IFERROR(IF(AND(Q21="Probabilidad",Q22="Probabilidad"),(Z21-(+Z21*T22)),IF(AND(Q21="Impacto",Q22="Probabilidad"),(Z20-(+Z20*T22)),IF(Q22="Impacto",Z21,""))),"")</f>
        <v/>
      </c>
      <c r="Y22" s="129" t="str">
        <f t="shared" si="2"/>
        <v/>
      </c>
      <c r="Z22" s="130" t="str">
        <f t="shared" si="15"/>
        <v/>
      </c>
      <c r="AA22" s="129" t="str">
        <f t="shared" si="4"/>
        <v/>
      </c>
      <c r="AB22" s="130" t="str">
        <f t="shared" ref="AB22:AB24" si="19">IFERROR(IF(AND(Q21="Impacto",Q22="Impacto"),(AB21-(+AB21*T22)),IF(AND(Q21="Probabilidad",Q22="Impacto"),(AB20-(+AB20*T22)),IF(Q22="Probabilidad",AB21,""))),"")</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ca="1" si="13"/>
        <v>0</v>
      </c>
      <c r="L23" s="204"/>
      <c r="M23" s="207"/>
      <c r="N23" s="198"/>
      <c r="O23" s="123">
        <v>5</v>
      </c>
      <c r="P23" s="124"/>
      <c r="Q23" s="125" t="str">
        <f t="shared" si="17"/>
        <v/>
      </c>
      <c r="R23" s="126"/>
      <c r="S23" s="126"/>
      <c r="T23" s="127" t="str">
        <f t="shared" si="14"/>
        <v/>
      </c>
      <c r="U23" s="126"/>
      <c r="V23" s="126"/>
      <c r="W23" s="126"/>
      <c r="X23" s="128" t="str">
        <f t="shared" si="18"/>
        <v/>
      </c>
      <c r="Y23" s="129" t="str">
        <f t="shared" si="2"/>
        <v/>
      </c>
      <c r="Z23" s="130" t="str">
        <f t="shared" si="15"/>
        <v/>
      </c>
      <c r="AA23" s="129" t="str">
        <f t="shared" si="4"/>
        <v/>
      </c>
      <c r="AB23" s="130" t="str">
        <f t="shared" si="19"/>
        <v/>
      </c>
      <c r="AC23" s="131" t="str">
        <f t="shared" ref="AC23:AC24" si="20">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4"/>
      <c r="B24" s="193"/>
      <c r="C24" s="193"/>
      <c r="D24" s="193"/>
      <c r="E24" s="217"/>
      <c r="F24" s="193"/>
      <c r="G24" s="196"/>
      <c r="H24" s="205"/>
      <c r="I24" s="208"/>
      <c r="J24" s="211"/>
      <c r="K24" s="208">
        <f t="shared" ca="1" si="13"/>
        <v>0</v>
      </c>
      <c r="L24" s="205"/>
      <c r="M24" s="208"/>
      <c r="N24" s="199"/>
      <c r="O24" s="123">
        <v>6</v>
      </c>
      <c r="P24" s="124"/>
      <c r="Q24" s="125" t="str">
        <f t="shared" si="17"/>
        <v/>
      </c>
      <c r="R24" s="126"/>
      <c r="S24" s="126"/>
      <c r="T24" s="127" t="str">
        <f t="shared" si="14"/>
        <v/>
      </c>
      <c r="U24" s="126"/>
      <c r="V24" s="126"/>
      <c r="W24" s="126"/>
      <c r="X24" s="128" t="str">
        <f t="shared" si="18"/>
        <v/>
      </c>
      <c r="Y24" s="129" t="str">
        <f t="shared" si="2"/>
        <v/>
      </c>
      <c r="Z24" s="130" t="str">
        <f t="shared" si="15"/>
        <v/>
      </c>
      <c r="AA24" s="129" t="str">
        <f t="shared" si="4"/>
        <v/>
      </c>
      <c r="AB24" s="130" t="str">
        <f t="shared" si="19"/>
        <v/>
      </c>
      <c r="AC24" s="131" t="str">
        <f t="shared" si="20"/>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2">
        <v>4</v>
      </c>
      <c r="B25" s="191"/>
      <c r="C25" s="191"/>
      <c r="D25" s="191"/>
      <c r="E25" s="215"/>
      <c r="F25" s="191"/>
      <c r="G25" s="194"/>
      <c r="H25" s="203" t="str">
        <f>IF(G25&lt;=0,"",IF(G25&lt;=2,"Muy Baja",IF(G25&lt;=24,"Baja",IF(G25&lt;=500,"Media",IF(G25&lt;=5000,"Alta","Muy Alta")))))</f>
        <v/>
      </c>
      <c r="I25" s="206" t="str">
        <f>IF(H25="","",IF(H25="Muy Baja",0.2,IF(H25="Baja",0.4,IF(H25="Media",0.6,IF(H25="Alta",0.8,IF(H25="Muy Alta",1,))))))</f>
        <v/>
      </c>
      <c r="J25" s="209"/>
      <c r="K25" s="206">
        <f ca="1">IF(NOT(ISERROR(MATCH(J25,'Tabla Impacto'!$B$221:$B$223,0))),'Tabla Impacto'!$F$223&amp;"Por favor no seleccionar los criterios de impacto(Afectación Económica o presupuestal y Pérdida Reputacional)",J25)</f>
        <v>0</v>
      </c>
      <c r="L25" s="203" t="str">
        <f ca="1">IF(OR(K25='Tabla Impacto'!$C$11,K25='Tabla Impacto'!$D$11),"Leve",IF(OR(K25='Tabla Impacto'!$C$12,K25='Tabla Impacto'!$D$12),"Menor",IF(OR(K25='Tabla Impacto'!$C$13,K25='Tabla Impacto'!$D$13),"Moderado",IF(OR(K25='Tabla Impacto'!$C$14,K25='Tabla Impacto'!$D$14),"Mayor",IF(OR(K25='Tabla Impacto'!$C$15,K25='Tabla Impacto'!$D$15),"Catastrófico","")))))</f>
        <v/>
      </c>
      <c r="M25" s="206" t="str">
        <f ca="1">IF(L25="","",IF(L25="Leve",0.2,IF(L25="Menor",0.4,IF(L25="Moderado",0.6,IF(L25="Mayor",0.8,IF(L25="Catastrófico",1,))))))</f>
        <v/>
      </c>
      <c r="N25" s="197" t="str">
        <f ca="1">IF(OR(AND(H25="Muy Baja",L25="Leve"),AND(H25="Muy Baja",L25="Menor"),AND(H25="Baja",L25="Leve")),"Bajo",IF(OR(AND(H25="Muy baja",L25="Moderado"),AND(H25="Baja",L25="Menor"),AND(H25="Baja",L25="Moderado"),AND(H25="Media",L25="Leve"),AND(H25="Media",L25="Menor"),AND(H25="Media",L25="Moderado"),AND(H25="Alta",L25="Leve"),AND(H25="Alta",L25="Menor")),"Moderado",IF(OR(AND(H25="Muy Baja",L25="Mayor"),AND(H25="Baja",L25="Mayor"),AND(H25="Media",L25="Mayor"),AND(H25="Alta",L25="Moderado"),AND(H25="Alta",L25="Mayor"),AND(H25="Muy Alta",L25="Leve"),AND(H25="Muy Alta",L25="Menor"),AND(H25="Muy Alta",L25="Moderado"),AND(H25="Muy Alta",L25="Mayor")),"Alto",IF(OR(AND(H25="Muy Baja",L25="Catastrófico"),AND(H25="Baja",L25="Catastrófico"),AND(H25="Media",L25="Catastrófico"),AND(H25="Alta",L25="Catastrófico"),AND(H25="Muy Alta",L25="Catastrófico")),"Extremo",""))))</f>
        <v/>
      </c>
      <c r="O25" s="123">
        <v>1</v>
      </c>
      <c r="P25" s="124"/>
      <c r="Q25" s="125" t="str">
        <f>IF(OR(R25="Preventivo",R25="Detectivo"),"Probabilidad",IF(R25="Correctivo","Impacto",""))</f>
        <v/>
      </c>
      <c r="R25" s="126"/>
      <c r="S25" s="126"/>
      <c r="T25" s="127" t="str">
        <f>IF(AND(R25="Preventivo",S25="Automático"),"50%",IF(AND(R25="Preventivo",S25="Manual"),"40%",IF(AND(R25="Detectivo",S25="Automático"),"40%",IF(AND(R25="Detectivo",S25="Manual"),"30%",IF(AND(R25="Correctivo",S25="Automático"),"35%",IF(AND(R25="Correctivo",S25="Manual"),"25%",""))))))</f>
        <v/>
      </c>
      <c r="U25" s="126"/>
      <c r="V25" s="126"/>
      <c r="W25" s="126"/>
      <c r="X25" s="128" t="str">
        <f>IFERROR(IF(Q25="Probabilidad",(I25-(+I25*T25)),IF(Q25="Impacto",I25,"")),"")</f>
        <v/>
      </c>
      <c r="Y25" s="129" t="str">
        <f>IFERROR(IF(X25="","",IF(X25&lt;=0.2,"Muy Baja",IF(X25&lt;=0.4,"Baja",IF(X25&lt;=0.6,"Media",IF(X25&lt;=0.8,"Alta","Muy Alta"))))),"")</f>
        <v/>
      </c>
      <c r="Z25" s="130" t="str">
        <f>+X25</f>
        <v/>
      </c>
      <c r="AA25" s="129" t="str">
        <f>IFERROR(IF(AB25="","",IF(AB25&lt;=0.2,"Leve",IF(AB25&lt;=0.4,"Menor",IF(AB25&lt;=0.6,"Moderado",IF(AB25&lt;=0.8,"Mayor","Catastrófico"))))),"")</f>
        <v/>
      </c>
      <c r="AB25" s="130" t="str">
        <f>IFERROR(IF(Q25="Impacto",(M25-(+M25*T25)),IF(Q25="Probabilidad",M25,"")),"")</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ref="K26:K30" ca="1" si="21">IF(NOT(ISERROR(MATCH(J26,_xlfn.ANCHORARRAY(E37),0))),I39&amp;"Por favor no seleccionar los criterios de impacto",J26)</f>
        <v>0</v>
      </c>
      <c r="L26" s="204"/>
      <c r="M26" s="207"/>
      <c r="N26" s="198"/>
      <c r="O26" s="123">
        <v>2</v>
      </c>
      <c r="P26" s="124"/>
      <c r="Q26" s="125" t="str">
        <f>IF(OR(R26="Preventivo",R26="Detectivo"),"Probabilidad",IF(R26="Correctivo","Impacto",""))</f>
        <v/>
      </c>
      <c r="R26" s="126"/>
      <c r="S26" s="126"/>
      <c r="T26" s="127" t="str">
        <f t="shared" ref="T26:T30" si="22">IF(AND(R26="Preventivo",S26="Automático"),"50%",IF(AND(R26="Preventivo",S26="Manual"),"40%",IF(AND(R26="Detectivo",S26="Automático"),"40%",IF(AND(R26="Detectivo",S26="Manual"),"30%",IF(AND(R26="Correctivo",S26="Automático"),"35%",IF(AND(R26="Correctivo",S26="Manual"),"25%",""))))))</f>
        <v/>
      </c>
      <c r="U26" s="126"/>
      <c r="V26" s="126"/>
      <c r="W26" s="126"/>
      <c r="X26" s="128" t="str">
        <f>IFERROR(IF(AND(Q25="Probabilidad",Q26="Probabilidad"),(Z25-(+Z25*T26)),IF(Q26="Probabilidad",(I25-(+I25*T26)),IF(Q26="Impacto",Z25,""))),"")</f>
        <v/>
      </c>
      <c r="Y26" s="129" t="str">
        <f t="shared" si="2"/>
        <v/>
      </c>
      <c r="Z26" s="130" t="str">
        <f t="shared" ref="Z26:Z30" si="23">+X26</f>
        <v/>
      </c>
      <c r="AA26" s="129" t="str">
        <f t="shared" si="4"/>
        <v/>
      </c>
      <c r="AB26" s="130" t="str">
        <f>IFERROR(IF(AND(Q25="Impacto",Q26="Impacto"),(AB19-(+AB19*T26)),IF(Q26="Impacto",($M$25-(+$M$25*T26)),IF(Q26="Probabilidad",AB19,""))),"")</f>
        <v/>
      </c>
      <c r="AC26" s="131" t="str">
        <f t="shared" ref="AC26:AC27" si="24">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3"/>
      <c r="B27" s="192"/>
      <c r="C27" s="192"/>
      <c r="D27" s="192"/>
      <c r="E27" s="216"/>
      <c r="F27" s="192"/>
      <c r="G27" s="195"/>
      <c r="H27" s="204"/>
      <c r="I27" s="207"/>
      <c r="J27" s="210"/>
      <c r="K27" s="207">
        <f t="shared" ca="1" si="21"/>
        <v>0</v>
      </c>
      <c r="L27" s="204"/>
      <c r="M27" s="207"/>
      <c r="N27" s="198"/>
      <c r="O27" s="123">
        <v>3</v>
      </c>
      <c r="P27" s="136"/>
      <c r="Q27" s="125" t="str">
        <f>IF(OR(R27="Preventivo",R27="Detectivo"),"Probabilidad",IF(R27="Correctivo","Impacto",""))</f>
        <v/>
      </c>
      <c r="R27" s="126"/>
      <c r="S27" s="126"/>
      <c r="T27" s="127" t="str">
        <f t="shared" si="22"/>
        <v/>
      </c>
      <c r="U27" s="126"/>
      <c r="V27" s="126"/>
      <c r="W27" s="126"/>
      <c r="X27" s="128" t="str">
        <f>IFERROR(IF(AND(Q26="Probabilidad",Q27="Probabilidad"),(Z26-(+Z26*T27)),IF(AND(Q26="Impacto",Q27="Probabilidad"),(Z25-(+Z25*T27)),IF(Q27="Impacto",Z26,""))),"")</f>
        <v/>
      </c>
      <c r="Y27" s="129" t="str">
        <f t="shared" si="2"/>
        <v/>
      </c>
      <c r="Z27" s="130" t="str">
        <f t="shared" si="23"/>
        <v/>
      </c>
      <c r="AA27" s="129" t="str">
        <f t="shared" si="4"/>
        <v/>
      </c>
      <c r="AB27" s="130" t="str">
        <f>IFERROR(IF(AND(Q26="Impacto",Q27="Impacto"),(AB26-(+AB26*T27)),IF(AND(Q26="Probabilidad",Q27="Impacto"),(AB25-(+AB25*T27)),IF(Q27="Probabilidad",AB26,""))),"")</f>
        <v/>
      </c>
      <c r="AC27" s="131" t="str">
        <f t="shared" si="24"/>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3"/>
      <c r="B28" s="192"/>
      <c r="C28" s="192"/>
      <c r="D28" s="192"/>
      <c r="E28" s="216"/>
      <c r="F28" s="192"/>
      <c r="G28" s="195"/>
      <c r="H28" s="204"/>
      <c r="I28" s="207"/>
      <c r="J28" s="210"/>
      <c r="K28" s="207">
        <f t="shared" ca="1" si="21"/>
        <v>0</v>
      </c>
      <c r="L28" s="204"/>
      <c r="M28" s="207"/>
      <c r="N28" s="198"/>
      <c r="O28" s="123">
        <v>4</v>
      </c>
      <c r="P28" s="124"/>
      <c r="Q28" s="125" t="str">
        <f t="shared" ref="Q28:Q30" si="25">IF(OR(R28="Preventivo",R28="Detectivo"),"Probabilidad",IF(R28="Correctivo","Impacto",""))</f>
        <v/>
      </c>
      <c r="R28" s="126"/>
      <c r="S28" s="126"/>
      <c r="T28" s="127" t="str">
        <f t="shared" si="22"/>
        <v/>
      </c>
      <c r="U28" s="126"/>
      <c r="V28" s="126"/>
      <c r="W28" s="126"/>
      <c r="X28" s="128" t="str">
        <f t="shared" ref="X28:X30" si="26">IFERROR(IF(AND(Q27="Probabilidad",Q28="Probabilidad"),(Z27-(+Z27*T28)),IF(AND(Q27="Impacto",Q28="Probabilidad"),(Z26-(+Z26*T28)),IF(Q28="Impacto",Z27,""))),"")</f>
        <v/>
      </c>
      <c r="Y28" s="129" t="str">
        <f t="shared" si="2"/>
        <v/>
      </c>
      <c r="Z28" s="130" t="str">
        <f t="shared" si="23"/>
        <v/>
      </c>
      <c r="AA28" s="129" t="str">
        <f t="shared" si="4"/>
        <v/>
      </c>
      <c r="AB28" s="130" t="str">
        <f t="shared" ref="AB28:AB30" si="27">IFERROR(IF(AND(Q27="Impacto",Q28="Impacto"),(AB27-(+AB27*T28)),IF(AND(Q27="Probabilidad",Q28="Impacto"),(AB26-(+AB26*T28)),IF(Q28="Probabilidad",AB27,""))),"")</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ca="1" si="21"/>
        <v>0</v>
      </c>
      <c r="L29" s="204"/>
      <c r="M29" s="207"/>
      <c r="N29" s="198"/>
      <c r="O29" s="123">
        <v>5</v>
      </c>
      <c r="P29" s="124"/>
      <c r="Q29" s="125" t="str">
        <f t="shared" si="25"/>
        <v/>
      </c>
      <c r="R29" s="126"/>
      <c r="S29" s="126"/>
      <c r="T29" s="127" t="str">
        <f t="shared" si="22"/>
        <v/>
      </c>
      <c r="U29" s="126"/>
      <c r="V29" s="126"/>
      <c r="W29" s="126"/>
      <c r="X29" s="137" t="str">
        <f t="shared" si="26"/>
        <v/>
      </c>
      <c r="Y29" s="129" t="str">
        <f>IFERROR(IF(X29="","",IF(X29&lt;=0.2,"Muy Baja",IF(X29&lt;=0.4,"Baja",IF(X29&lt;=0.6,"Media",IF(X29&lt;=0.8,"Alta","Muy Alta"))))),"")</f>
        <v/>
      </c>
      <c r="Z29" s="130" t="str">
        <f t="shared" si="23"/>
        <v/>
      </c>
      <c r="AA29" s="129" t="str">
        <f t="shared" si="4"/>
        <v/>
      </c>
      <c r="AB29" s="130" t="str">
        <f t="shared" si="27"/>
        <v/>
      </c>
      <c r="AC29" s="131" t="str">
        <f t="shared" ref="AC29:AC30" si="28">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4"/>
      <c r="B30" s="193"/>
      <c r="C30" s="193"/>
      <c r="D30" s="193"/>
      <c r="E30" s="217"/>
      <c r="F30" s="193"/>
      <c r="G30" s="196"/>
      <c r="H30" s="205"/>
      <c r="I30" s="208"/>
      <c r="J30" s="211"/>
      <c r="K30" s="208">
        <f t="shared" ca="1" si="21"/>
        <v>0</v>
      </c>
      <c r="L30" s="205"/>
      <c r="M30" s="208"/>
      <c r="N30" s="199"/>
      <c r="O30" s="123">
        <v>6</v>
      </c>
      <c r="P30" s="124"/>
      <c r="Q30" s="125" t="str">
        <f t="shared" si="25"/>
        <v/>
      </c>
      <c r="R30" s="126"/>
      <c r="S30" s="126"/>
      <c r="T30" s="127" t="str">
        <f t="shared" si="22"/>
        <v/>
      </c>
      <c r="U30" s="126"/>
      <c r="V30" s="126"/>
      <c r="W30" s="126"/>
      <c r="X30" s="128" t="str">
        <f t="shared" si="26"/>
        <v/>
      </c>
      <c r="Y30" s="129" t="str">
        <f t="shared" si="2"/>
        <v/>
      </c>
      <c r="Z30" s="130" t="str">
        <f t="shared" si="23"/>
        <v/>
      </c>
      <c r="AA30" s="129" t="str">
        <f t="shared" si="4"/>
        <v/>
      </c>
      <c r="AB30" s="130" t="str">
        <f t="shared" si="27"/>
        <v/>
      </c>
      <c r="AC30" s="131" t="str">
        <f t="shared" si="28"/>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2">
        <v>5</v>
      </c>
      <c r="B31" s="191"/>
      <c r="C31" s="191"/>
      <c r="D31" s="191"/>
      <c r="E31" s="215"/>
      <c r="F31" s="191"/>
      <c r="G31" s="194"/>
      <c r="H31" s="203" t="str">
        <f>IF(G31&lt;=0,"",IF(G31&lt;=2,"Muy Baja",IF(G31&lt;=24,"Baja",IF(G31&lt;=500,"Media",IF(G31&lt;=5000,"Alta","Muy Alta")))))</f>
        <v/>
      </c>
      <c r="I31" s="206" t="str">
        <f>IF(H31="","",IF(H31="Muy Baja",0.2,IF(H31="Baja",0.4,IF(H31="Media",0.6,IF(H31="Alta",0.8,IF(H31="Muy Alta",1,))))))</f>
        <v/>
      </c>
      <c r="J31" s="209"/>
      <c r="K31" s="206">
        <f ca="1">IF(NOT(ISERROR(MATCH(J31,'Tabla Impacto'!$B$221:$B$223,0))),'Tabla Impacto'!$F$223&amp;"Por favor no seleccionar los criterios de impacto(Afectación Económica o presupuestal y Pérdida Reputacional)",J31)</f>
        <v>0</v>
      </c>
      <c r="L31" s="203" t="str">
        <f ca="1">IF(OR(K31='Tabla Impacto'!$C$11,K31='Tabla Impacto'!$D$11),"Leve",IF(OR(K31='Tabla Impacto'!$C$12,K31='Tabla Impacto'!$D$12),"Menor",IF(OR(K31='Tabla Impacto'!$C$13,K31='Tabla Impacto'!$D$13),"Moderado",IF(OR(K31='Tabla Impacto'!$C$14,K31='Tabla Impacto'!$D$14),"Mayor",IF(OR(K31='Tabla Impacto'!$C$15,K31='Tabla Impacto'!$D$15),"Catastrófico","")))))</f>
        <v/>
      </c>
      <c r="M31" s="206" t="str">
        <f ca="1">IF(L31="","",IF(L31="Leve",0.2,IF(L31="Menor",0.4,IF(L31="Moderado",0.6,IF(L31="Mayor",0.8,IF(L31="Catastrófico",1,))))))</f>
        <v/>
      </c>
      <c r="N31" s="197" t="str">
        <f ca="1">IF(OR(AND(H31="Muy Baja",L31="Leve"),AND(H31="Muy Baja",L31="Menor"),AND(H31="Baja",L31="Leve")),"Bajo",IF(OR(AND(H31="Muy baja",L31="Moderado"),AND(H31="Baja",L31="Menor"),AND(H31="Baja",L31="Moderado"),AND(H31="Media",L31="Leve"),AND(H31="Media",L31="Menor"),AND(H31="Media",L31="Moderado"),AND(H31="Alta",L31="Leve"),AND(H31="Alta",L31="Menor")),"Moderado",IF(OR(AND(H31="Muy Baja",L31="Mayor"),AND(H31="Baja",L31="Mayor"),AND(H31="Media",L31="Mayor"),AND(H31="Alta",L31="Moderado"),AND(H31="Alta",L31="Mayor"),AND(H31="Muy Alta",L31="Leve"),AND(H31="Muy Alta",L31="Menor"),AND(H31="Muy Alta",L31="Moderado"),AND(H31="Muy Alta",L31="Mayor")),"Alto",IF(OR(AND(H31="Muy Baja",L31="Catastrófico"),AND(H31="Baja",L31="Catastrófico"),AND(H31="Media",L31="Catastrófico"),AND(H31="Alta",L31="Catastrófico"),AND(H31="Muy Alta",L31="Catastrófico")),"Extremo",""))))</f>
        <v/>
      </c>
      <c r="O31" s="123">
        <v>1</v>
      </c>
      <c r="P31" s="124"/>
      <c r="Q31" s="125" t="str">
        <f>IF(OR(R31="Preventivo",R31="Detectivo"),"Probabilidad",IF(R31="Correctivo","Impacto",""))</f>
        <v/>
      </c>
      <c r="R31" s="126"/>
      <c r="S31" s="126"/>
      <c r="T31" s="127" t="str">
        <f>IF(AND(R31="Preventivo",S31="Automático"),"50%",IF(AND(R31="Preventivo",S31="Manual"),"40%",IF(AND(R31="Detectivo",S31="Automático"),"40%",IF(AND(R31="Detectivo",S31="Manual"),"30%",IF(AND(R31="Correctivo",S31="Automático"),"35%",IF(AND(R31="Correctivo",S31="Manual"),"25%",""))))))</f>
        <v/>
      </c>
      <c r="U31" s="126"/>
      <c r="V31" s="126"/>
      <c r="W31" s="126"/>
      <c r="X31" s="128" t="str">
        <f>IFERROR(IF(Q31="Probabilidad",(I31-(+I31*T31)),IF(Q31="Impacto",I31,"")),"")</f>
        <v/>
      </c>
      <c r="Y31" s="129" t="str">
        <f>IFERROR(IF(X31="","",IF(X31&lt;=0.2,"Muy Baja",IF(X31&lt;=0.4,"Baja",IF(X31&lt;=0.6,"Media",IF(X31&lt;=0.8,"Alta","Muy Alta"))))),"")</f>
        <v/>
      </c>
      <c r="Z31" s="130" t="str">
        <f>+X31</f>
        <v/>
      </c>
      <c r="AA31" s="129" t="str">
        <f>IFERROR(IF(AB31="","",IF(AB31&lt;=0.2,"Leve",IF(AB31&lt;=0.4,"Menor",IF(AB31&lt;=0.6,"Moderado",IF(AB31&lt;=0.8,"Mayor","Catastrófico"))))),"")</f>
        <v/>
      </c>
      <c r="AB31" s="130" t="str">
        <f>IFERROR(IF(Q31="Impacto",(M31-(+M31*T31)),IF(Q31="Probabilidad",M31,"")),"")</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ref="K32:K36" ca="1" si="29">IF(NOT(ISERROR(MATCH(J32,_xlfn.ANCHORARRAY(E43),0))),I45&amp;"Por favor no seleccionar los criterios de impacto",J32)</f>
        <v>0</v>
      </c>
      <c r="L32" s="204"/>
      <c r="M32" s="207"/>
      <c r="N32" s="198"/>
      <c r="O32" s="123">
        <v>2</v>
      </c>
      <c r="P32" s="124"/>
      <c r="Q32" s="125" t="str">
        <f>IF(OR(R32="Preventivo",R32="Detectivo"),"Probabilidad",IF(R32="Correctivo","Impacto",""))</f>
        <v/>
      </c>
      <c r="R32" s="126"/>
      <c r="S32" s="126"/>
      <c r="T32" s="127" t="str">
        <f t="shared" ref="T32:T36" si="30">IF(AND(R32="Preventivo",S32="Automático"),"50%",IF(AND(R32="Preventivo",S32="Manual"),"40%",IF(AND(R32="Detectivo",S32="Automático"),"40%",IF(AND(R32="Detectivo",S32="Manual"),"30%",IF(AND(R32="Correctivo",S32="Automático"),"35%",IF(AND(R32="Correctivo",S32="Manual"),"25%",""))))))</f>
        <v/>
      </c>
      <c r="U32" s="126"/>
      <c r="V32" s="126"/>
      <c r="W32" s="126"/>
      <c r="X32" s="128" t="str">
        <f>IFERROR(IF(AND(Q31="Probabilidad",Q32="Probabilidad"),(Z31-(+Z31*T32)),IF(Q32="Probabilidad",(I31-(+I31*T32)),IF(Q32="Impacto",Z31,""))),"")</f>
        <v/>
      </c>
      <c r="Y32" s="129" t="str">
        <f t="shared" si="2"/>
        <v/>
      </c>
      <c r="Z32" s="130" t="str">
        <f t="shared" ref="Z32:Z36" si="31">+X32</f>
        <v/>
      </c>
      <c r="AA32" s="129" t="str">
        <f t="shared" si="4"/>
        <v/>
      </c>
      <c r="AB32" s="130" t="str">
        <f>IFERROR(IF(AND(Q31="Impacto",Q32="Impacto"),(AB25-(+AB25*T32)),IF(Q32="Impacto",($M$31-(+$M$31*T32)),IF(Q32="Probabilidad",AB25,""))),"")</f>
        <v/>
      </c>
      <c r="AC32" s="131" t="str">
        <f t="shared" ref="AC32:AC33" si="32">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3"/>
      <c r="B33" s="192"/>
      <c r="C33" s="192"/>
      <c r="D33" s="192"/>
      <c r="E33" s="216"/>
      <c r="F33" s="192"/>
      <c r="G33" s="195"/>
      <c r="H33" s="204"/>
      <c r="I33" s="207"/>
      <c r="J33" s="210"/>
      <c r="K33" s="207">
        <f t="shared" ca="1" si="29"/>
        <v>0</v>
      </c>
      <c r="L33" s="204"/>
      <c r="M33" s="207"/>
      <c r="N33" s="198"/>
      <c r="O33" s="123">
        <v>3</v>
      </c>
      <c r="P33" s="136"/>
      <c r="Q33" s="125" t="str">
        <f>IF(OR(R33="Preventivo",R33="Detectivo"),"Probabilidad",IF(R33="Correctivo","Impacto",""))</f>
        <v/>
      </c>
      <c r="R33" s="126"/>
      <c r="S33" s="126"/>
      <c r="T33" s="127" t="str">
        <f t="shared" si="30"/>
        <v/>
      </c>
      <c r="U33" s="126"/>
      <c r="V33" s="126"/>
      <c r="W33" s="126"/>
      <c r="X33" s="128" t="str">
        <f>IFERROR(IF(AND(Q32="Probabilidad",Q33="Probabilidad"),(Z32-(+Z32*T33)),IF(AND(Q32="Impacto",Q33="Probabilidad"),(Z31-(+Z31*T33)),IF(Q33="Impacto",Z32,""))),"")</f>
        <v/>
      </c>
      <c r="Y33" s="129" t="str">
        <f t="shared" si="2"/>
        <v/>
      </c>
      <c r="Z33" s="130" t="str">
        <f t="shared" si="31"/>
        <v/>
      </c>
      <c r="AA33" s="129" t="str">
        <f t="shared" si="4"/>
        <v/>
      </c>
      <c r="AB33" s="130" t="str">
        <f>IFERROR(IF(AND(Q32="Impacto",Q33="Impacto"),(AB32-(+AB32*T33)),IF(AND(Q32="Probabilidad",Q33="Impacto"),(AB31-(+AB31*T33)),IF(Q33="Probabilidad",AB32,""))),"")</f>
        <v/>
      </c>
      <c r="AC33" s="131" t="str">
        <f t="shared" si="32"/>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3"/>
      <c r="B34" s="192"/>
      <c r="C34" s="192"/>
      <c r="D34" s="192"/>
      <c r="E34" s="216"/>
      <c r="F34" s="192"/>
      <c r="G34" s="195"/>
      <c r="H34" s="204"/>
      <c r="I34" s="207"/>
      <c r="J34" s="210"/>
      <c r="K34" s="207">
        <f t="shared" ca="1" si="29"/>
        <v>0</v>
      </c>
      <c r="L34" s="204"/>
      <c r="M34" s="207"/>
      <c r="N34" s="198"/>
      <c r="O34" s="123">
        <v>4</v>
      </c>
      <c r="P34" s="124"/>
      <c r="Q34" s="125" t="str">
        <f t="shared" ref="Q34:Q36" si="33">IF(OR(R34="Preventivo",R34="Detectivo"),"Probabilidad",IF(R34="Correctivo","Impacto",""))</f>
        <v/>
      </c>
      <c r="R34" s="126"/>
      <c r="S34" s="126"/>
      <c r="T34" s="127" t="str">
        <f t="shared" si="30"/>
        <v/>
      </c>
      <c r="U34" s="126"/>
      <c r="V34" s="126"/>
      <c r="W34" s="126"/>
      <c r="X34" s="128" t="str">
        <f t="shared" ref="X34:X36" si="34">IFERROR(IF(AND(Q33="Probabilidad",Q34="Probabilidad"),(Z33-(+Z33*T34)),IF(AND(Q33="Impacto",Q34="Probabilidad"),(Z32-(+Z32*T34)),IF(Q34="Impacto",Z33,""))),"")</f>
        <v/>
      </c>
      <c r="Y34" s="129" t="str">
        <f t="shared" si="2"/>
        <v/>
      </c>
      <c r="Z34" s="130" t="str">
        <f t="shared" si="31"/>
        <v/>
      </c>
      <c r="AA34" s="129" t="str">
        <f t="shared" si="4"/>
        <v/>
      </c>
      <c r="AB34" s="130" t="str">
        <f t="shared" ref="AB34:AB36" si="35">IFERROR(IF(AND(Q33="Impacto",Q34="Impacto"),(AB33-(+AB33*T34)),IF(AND(Q33="Probabilidad",Q34="Impacto"),(AB32-(+AB32*T34)),IF(Q34="Probabilidad",AB33,""))),"")</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ca="1" si="29"/>
        <v>0</v>
      </c>
      <c r="L35" s="204"/>
      <c r="M35" s="207"/>
      <c r="N35" s="198"/>
      <c r="O35" s="123">
        <v>5</v>
      </c>
      <c r="P35" s="124"/>
      <c r="Q35" s="125" t="str">
        <f t="shared" si="33"/>
        <v/>
      </c>
      <c r="R35" s="126"/>
      <c r="S35" s="126"/>
      <c r="T35" s="127" t="str">
        <f t="shared" si="30"/>
        <v/>
      </c>
      <c r="U35" s="126"/>
      <c r="V35" s="126"/>
      <c r="W35" s="126"/>
      <c r="X35" s="128" t="str">
        <f t="shared" si="34"/>
        <v/>
      </c>
      <c r="Y35" s="129" t="str">
        <f t="shared" si="2"/>
        <v/>
      </c>
      <c r="Z35" s="130" t="str">
        <f t="shared" si="31"/>
        <v/>
      </c>
      <c r="AA35" s="129" t="str">
        <f t="shared" si="4"/>
        <v/>
      </c>
      <c r="AB35" s="130" t="str">
        <f t="shared" si="35"/>
        <v/>
      </c>
      <c r="AC35" s="131" t="str">
        <f t="shared" ref="AC35:AC36" si="36">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4"/>
      <c r="B36" s="193"/>
      <c r="C36" s="193"/>
      <c r="D36" s="193"/>
      <c r="E36" s="217"/>
      <c r="F36" s="193"/>
      <c r="G36" s="196"/>
      <c r="H36" s="205"/>
      <c r="I36" s="208"/>
      <c r="J36" s="211"/>
      <c r="K36" s="208">
        <f t="shared" ca="1" si="29"/>
        <v>0</v>
      </c>
      <c r="L36" s="205"/>
      <c r="M36" s="208"/>
      <c r="N36" s="199"/>
      <c r="O36" s="123">
        <v>6</v>
      </c>
      <c r="P36" s="124"/>
      <c r="Q36" s="125" t="str">
        <f t="shared" si="33"/>
        <v/>
      </c>
      <c r="R36" s="126"/>
      <c r="S36" s="126"/>
      <c r="T36" s="127" t="str">
        <f t="shared" si="30"/>
        <v/>
      </c>
      <c r="U36" s="126"/>
      <c r="V36" s="126"/>
      <c r="W36" s="126"/>
      <c r="X36" s="128" t="str">
        <f t="shared" si="34"/>
        <v/>
      </c>
      <c r="Y36" s="129" t="str">
        <f t="shared" si="2"/>
        <v/>
      </c>
      <c r="Z36" s="130" t="str">
        <f t="shared" si="31"/>
        <v/>
      </c>
      <c r="AA36" s="129" t="str">
        <f t="shared" si="4"/>
        <v/>
      </c>
      <c r="AB36" s="130" t="str">
        <f t="shared" si="35"/>
        <v/>
      </c>
      <c r="AC36" s="131" t="str">
        <f t="shared" si="36"/>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2">
        <v>6</v>
      </c>
      <c r="B37" s="191"/>
      <c r="C37" s="191"/>
      <c r="D37" s="191"/>
      <c r="E37" s="215"/>
      <c r="F37" s="191"/>
      <c r="G37" s="194"/>
      <c r="H37" s="203" t="str">
        <f>IF(G37&lt;=0,"",IF(G37&lt;=2,"Muy Baja",IF(G37&lt;=24,"Baja",IF(G37&lt;=500,"Media",IF(G37&lt;=5000,"Alta","Muy Alta")))))</f>
        <v/>
      </c>
      <c r="I37" s="206" t="str">
        <f>IF(H37="","",IF(H37="Muy Baja",0.2,IF(H37="Baja",0.4,IF(H37="Media",0.6,IF(H37="Alta",0.8,IF(H37="Muy Alta",1,))))))</f>
        <v/>
      </c>
      <c r="J37" s="209"/>
      <c r="K37" s="206">
        <f ca="1">IF(NOT(ISERROR(MATCH(J37,'Tabla Impacto'!$B$221:$B$223,0))),'Tabla Impacto'!$F$223&amp;"Por favor no seleccionar los criterios de impacto(Afectación Económica o presupuestal y Pérdida Reputacional)",J37)</f>
        <v>0</v>
      </c>
      <c r="L37" s="203" t="str">
        <f ca="1">IF(OR(K37='Tabla Impacto'!$C$11,K37='Tabla Impacto'!$D$11),"Leve",IF(OR(K37='Tabla Impacto'!$C$12,K37='Tabla Impacto'!$D$12),"Menor",IF(OR(K37='Tabla Impacto'!$C$13,K37='Tabla Impacto'!$D$13),"Moderado",IF(OR(K37='Tabla Impacto'!$C$14,K37='Tabla Impacto'!$D$14),"Mayor",IF(OR(K37='Tabla Impacto'!$C$15,K37='Tabla Impacto'!$D$15),"Catastrófico","")))))</f>
        <v/>
      </c>
      <c r="M37" s="206" t="str">
        <f ca="1">IF(L37="","",IF(L37="Leve",0.2,IF(L37="Menor",0.4,IF(L37="Moderado",0.6,IF(L37="Mayor",0.8,IF(L37="Catastrófico",1,))))))</f>
        <v/>
      </c>
      <c r="N37" s="197" t="str">
        <f ca="1">IF(OR(AND(H37="Muy Baja",L37="Leve"),AND(H37="Muy Baja",L37="Menor"),AND(H37="Baja",L37="Leve")),"Bajo",IF(OR(AND(H37="Muy baja",L37="Moderado"),AND(H37="Baja",L37="Menor"),AND(H37="Baja",L37="Moderado"),AND(H37="Media",L37="Leve"),AND(H37="Media",L37="Menor"),AND(H37="Media",L37="Moderado"),AND(H37="Alta",L37="Leve"),AND(H37="Alta",L37="Menor")),"Moderado",IF(OR(AND(H37="Muy Baja",L37="Mayor"),AND(H37="Baja",L37="Mayor"),AND(H37="Media",L37="Mayor"),AND(H37="Alta",L37="Moderado"),AND(H37="Alta",L37="Mayor"),AND(H37="Muy Alta",L37="Leve"),AND(H37="Muy Alta",L37="Menor"),AND(H37="Muy Alta",L37="Moderado"),AND(H37="Muy Alta",L37="Mayor")),"Alto",IF(OR(AND(H37="Muy Baja",L37="Catastrófico"),AND(H37="Baja",L37="Catastrófico"),AND(H37="Media",L37="Catastrófico"),AND(H37="Alta",L37="Catastrófico"),AND(H37="Muy Alta",L37="Catastrófico")),"Extremo",""))))</f>
        <v/>
      </c>
      <c r="O37" s="123">
        <v>1</v>
      </c>
      <c r="P37" s="124"/>
      <c r="Q37" s="125" t="str">
        <f>IF(OR(R37="Preventivo",R37="Detectivo"),"Probabilidad",IF(R37="Correctivo","Impacto",""))</f>
        <v/>
      </c>
      <c r="R37" s="126"/>
      <c r="S37" s="126"/>
      <c r="T37" s="127" t="str">
        <f>IF(AND(R37="Preventivo",S37="Automático"),"50%",IF(AND(R37="Preventivo",S37="Manual"),"40%",IF(AND(R37="Detectivo",S37="Automático"),"40%",IF(AND(R37="Detectivo",S37="Manual"),"30%",IF(AND(R37="Correctivo",S37="Automático"),"35%",IF(AND(R37="Correctivo",S37="Manual"),"25%",""))))))</f>
        <v/>
      </c>
      <c r="U37" s="126"/>
      <c r="V37" s="126"/>
      <c r="W37" s="126"/>
      <c r="X37" s="128" t="str">
        <f>IFERROR(IF(Q37="Probabilidad",(I37-(+I37*T37)),IF(Q37="Impacto",I37,"")),"")</f>
        <v/>
      </c>
      <c r="Y37" s="129" t="str">
        <f>IFERROR(IF(X37="","",IF(X37&lt;=0.2,"Muy Baja",IF(X37&lt;=0.4,"Baja",IF(X37&lt;=0.6,"Media",IF(X37&lt;=0.8,"Alta","Muy Alta"))))),"")</f>
        <v/>
      </c>
      <c r="Z37" s="130" t="str">
        <f>+X37</f>
        <v/>
      </c>
      <c r="AA37" s="129" t="str">
        <f>IFERROR(IF(AB37="","",IF(AB37&lt;=0.2,"Leve",IF(AB37&lt;=0.4,"Menor",IF(AB37&lt;=0.6,"Moderado",IF(AB37&lt;=0.8,"Mayor","Catastrófico"))))),"")</f>
        <v/>
      </c>
      <c r="AB37" s="130" t="str">
        <f>IFERROR(IF(Q37="Impacto",(M37-(+M37*T37)),IF(Q37="Probabilidad",M37,"")),"")</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ref="K38:K42" ca="1" si="37">IF(NOT(ISERROR(MATCH(J38,_xlfn.ANCHORARRAY(E49),0))),I51&amp;"Por favor no seleccionar los criterios de impacto",J38)</f>
        <v>0</v>
      </c>
      <c r="L38" s="204"/>
      <c r="M38" s="207"/>
      <c r="N38" s="198"/>
      <c r="O38" s="123">
        <v>2</v>
      </c>
      <c r="P38" s="124"/>
      <c r="Q38" s="125" t="str">
        <f>IF(OR(R38="Preventivo",R38="Detectivo"),"Probabilidad",IF(R38="Correctivo","Impacto",""))</f>
        <v/>
      </c>
      <c r="R38" s="126"/>
      <c r="S38" s="126"/>
      <c r="T38" s="127" t="str">
        <f t="shared" ref="T38:T42" si="38">IF(AND(R38="Preventivo",S38="Automático"),"50%",IF(AND(R38="Preventivo",S38="Manual"),"40%",IF(AND(R38="Detectivo",S38="Automático"),"40%",IF(AND(R38="Detectivo",S38="Manual"),"30%",IF(AND(R38="Correctivo",S38="Automático"),"35%",IF(AND(R38="Correctivo",S38="Manual"),"25%",""))))))</f>
        <v/>
      </c>
      <c r="U38" s="126"/>
      <c r="V38" s="126"/>
      <c r="W38" s="126"/>
      <c r="X38" s="128" t="str">
        <f>IFERROR(IF(AND(Q37="Probabilidad",Q38="Probabilidad"),(Z37-(+Z37*T38)),IF(Q38="Probabilidad",(I37-(+I37*T38)),IF(Q38="Impacto",Z37,""))),"")</f>
        <v/>
      </c>
      <c r="Y38" s="129" t="str">
        <f t="shared" si="2"/>
        <v/>
      </c>
      <c r="Z38" s="130" t="str">
        <f t="shared" ref="Z38:Z42" si="39">+X38</f>
        <v/>
      </c>
      <c r="AA38" s="129" t="str">
        <f t="shared" si="4"/>
        <v/>
      </c>
      <c r="AB38" s="130" t="str">
        <f>IFERROR(IF(AND(Q37="Impacto",Q38="Impacto"),(AB31-(+AB31*T38)),IF(Q38="Impacto",($M$37-(+$M$37*T38)),IF(Q38="Probabilidad",AB31,""))),"")</f>
        <v/>
      </c>
      <c r="AC38" s="131" t="str">
        <f t="shared" ref="AC38:AC39" si="40">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3"/>
      <c r="B39" s="192"/>
      <c r="C39" s="192"/>
      <c r="D39" s="192"/>
      <c r="E39" s="216"/>
      <c r="F39" s="192"/>
      <c r="G39" s="195"/>
      <c r="H39" s="204"/>
      <c r="I39" s="207"/>
      <c r="J39" s="210"/>
      <c r="K39" s="207">
        <f t="shared" ca="1" si="37"/>
        <v>0</v>
      </c>
      <c r="L39" s="204"/>
      <c r="M39" s="207"/>
      <c r="N39" s="198"/>
      <c r="O39" s="123">
        <v>3</v>
      </c>
      <c r="P39" s="136"/>
      <c r="Q39" s="125" t="str">
        <f>IF(OR(R39="Preventivo",R39="Detectivo"),"Probabilidad",IF(R39="Correctivo","Impacto",""))</f>
        <v/>
      </c>
      <c r="R39" s="126"/>
      <c r="S39" s="126"/>
      <c r="T39" s="127" t="str">
        <f t="shared" si="38"/>
        <v/>
      </c>
      <c r="U39" s="126"/>
      <c r="V39" s="126"/>
      <c r="W39" s="126"/>
      <c r="X39" s="128" t="str">
        <f>IFERROR(IF(AND(Q38="Probabilidad",Q39="Probabilidad"),(Z38-(+Z38*T39)),IF(AND(Q38="Impacto",Q39="Probabilidad"),(Z37-(+Z37*T39)),IF(Q39="Impacto",Z38,""))),"")</f>
        <v/>
      </c>
      <c r="Y39" s="129" t="str">
        <f t="shared" si="2"/>
        <v/>
      </c>
      <c r="Z39" s="130" t="str">
        <f t="shared" si="39"/>
        <v/>
      </c>
      <c r="AA39" s="129" t="str">
        <f t="shared" si="4"/>
        <v/>
      </c>
      <c r="AB39" s="130" t="str">
        <f>IFERROR(IF(AND(Q38="Impacto",Q39="Impacto"),(AB38-(+AB38*T39)),IF(AND(Q38="Probabilidad",Q39="Impacto"),(AB37-(+AB37*T39)),IF(Q39="Probabilidad",AB38,""))),"")</f>
        <v/>
      </c>
      <c r="AC39" s="131" t="str">
        <f t="shared" si="40"/>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3"/>
      <c r="B40" s="192"/>
      <c r="C40" s="192"/>
      <c r="D40" s="192"/>
      <c r="E40" s="216"/>
      <c r="F40" s="192"/>
      <c r="G40" s="195"/>
      <c r="H40" s="204"/>
      <c r="I40" s="207"/>
      <c r="J40" s="210"/>
      <c r="K40" s="207">
        <f t="shared" ca="1" si="37"/>
        <v>0</v>
      </c>
      <c r="L40" s="204"/>
      <c r="M40" s="207"/>
      <c r="N40" s="198"/>
      <c r="O40" s="123">
        <v>4</v>
      </c>
      <c r="P40" s="124"/>
      <c r="Q40" s="125" t="str">
        <f t="shared" ref="Q40:Q42" si="41">IF(OR(R40="Preventivo",R40="Detectivo"),"Probabilidad",IF(R40="Correctivo","Impacto",""))</f>
        <v/>
      </c>
      <c r="R40" s="126"/>
      <c r="S40" s="126"/>
      <c r="T40" s="127" t="str">
        <f t="shared" si="38"/>
        <v/>
      </c>
      <c r="U40" s="126"/>
      <c r="V40" s="126"/>
      <c r="W40" s="126"/>
      <c r="X40" s="128" t="str">
        <f t="shared" ref="X40:X42" si="42">IFERROR(IF(AND(Q39="Probabilidad",Q40="Probabilidad"),(Z39-(+Z39*T40)),IF(AND(Q39="Impacto",Q40="Probabilidad"),(Z38-(+Z38*T40)),IF(Q40="Impacto",Z39,""))),"")</f>
        <v/>
      </c>
      <c r="Y40" s="129" t="str">
        <f t="shared" si="2"/>
        <v/>
      </c>
      <c r="Z40" s="130" t="str">
        <f t="shared" si="39"/>
        <v/>
      </c>
      <c r="AA40" s="129" t="str">
        <f t="shared" si="4"/>
        <v/>
      </c>
      <c r="AB40" s="130" t="str">
        <f t="shared" ref="AB40:AB42" si="43">IFERROR(IF(AND(Q39="Impacto",Q40="Impacto"),(AB39-(+AB39*T40)),IF(AND(Q39="Probabilidad",Q40="Impacto"),(AB38-(+AB38*T40)),IF(Q40="Probabilidad",AB39,""))),"")</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ca="1" si="37"/>
        <v>0</v>
      </c>
      <c r="L41" s="204"/>
      <c r="M41" s="207"/>
      <c r="N41" s="198"/>
      <c r="O41" s="123">
        <v>5</v>
      </c>
      <c r="P41" s="124"/>
      <c r="Q41" s="125" t="str">
        <f t="shared" si="41"/>
        <v/>
      </c>
      <c r="R41" s="126"/>
      <c r="S41" s="126"/>
      <c r="T41" s="127" t="str">
        <f t="shared" si="38"/>
        <v/>
      </c>
      <c r="U41" s="126"/>
      <c r="V41" s="126"/>
      <c r="W41" s="126"/>
      <c r="X41" s="128" t="str">
        <f t="shared" si="42"/>
        <v/>
      </c>
      <c r="Y41" s="129" t="str">
        <f t="shared" si="2"/>
        <v/>
      </c>
      <c r="Z41" s="130" t="str">
        <f t="shared" si="39"/>
        <v/>
      </c>
      <c r="AA41" s="129" t="str">
        <f t="shared" si="4"/>
        <v/>
      </c>
      <c r="AB41" s="130" t="str">
        <f t="shared" si="43"/>
        <v/>
      </c>
      <c r="AC41" s="131" t="str">
        <f t="shared" ref="AC41" si="44">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4"/>
      <c r="B42" s="193"/>
      <c r="C42" s="193"/>
      <c r="D42" s="193"/>
      <c r="E42" s="217"/>
      <c r="F42" s="193"/>
      <c r="G42" s="196"/>
      <c r="H42" s="205"/>
      <c r="I42" s="208"/>
      <c r="J42" s="211"/>
      <c r="K42" s="208">
        <f t="shared" ca="1" si="37"/>
        <v>0</v>
      </c>
      <c r="L42" s="205"/>
      <c r="M42" s="208"/>
      <c r="N42" s="199"/>
      <c r="O42" s="123">
        <v>6</v>
      </c>
      <c r="P42" s="124"/>
      <c r="Q42" s="125" t="str">
        <f t="shared" si="41"/>
        <v/>
      </c>
      <c r="R42" s="126"/>
      <c r="S42" s="126"/>
      <c r="T42" s="127" t="str">
        <f t="shared" si="38"/>
        <v/>
      </c>
      <c r="U42" s="126"/>
      <c r="V42" s="126"/>
      <c r="W42" s="126"/>
      <c r="X42" s="128" t="str">
        <f t="shared" si="42"/>
        <v/>
      </c>
      <c r="Y42" s="129" t="str">
        <f t="shared" si="2"/>
        <v/>
      </c>
      <c r="Z42" s="130" t="str">
        <f t="shared" si="39"/>
        <v/>
      </c>
      <c r="AA42" s="129" t="str">
        <f>IFERROR(IF(AB42="","",IF(AB42&lt;=0.2,"Leve",IF(AB42&lt;=0.4,"Menor",IF(AB42&lt;=0.6,"Moderado",IF(AB42&lt;=0.8,"Mayor","Catastrófico"))))),"")</f>
        <v/>
      </c>
      <c r="AB42" s="130" t="str">
        <f t="shared" si="43"/>
        <v/>
      </c>
      <c r="AC42" s="131" t="str">
        <f>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2">
        <v>7</v>
      </c>
      <c r="B43" s="191"/>
      <c r="C43" s="191"/>
      <c r="D43" s="191"/>
      <c r="E43" s="215"/>
      <c r="F43" s="191"/>
      <c r="G43" s="194"/>
      <c r="H43" s="203" t="str">
        <f>IF(G43&lt;=0,"",IF(G43&lt;=2,"Muy Baja",IF(G43&lt;=24,"Baja",IF(G43&lt;=500,"Media",IF(G43&lt;=5000,"Alta","Muy Alta")))))</f>
        <v/>
      </c>
      <c r="I43" s="206" t="str">
        <f>IF(H43="","",IF(H43="Muy Baja",0.2,IF(H43="Baja",0.4,IF(H43="Media",0.6,IF(H43="Alta",0.8,IF(H43="Muy Alta",1,))))))</f>
        <v/>
      </c>
      <c r="J43" s="209"/>
      <c r="K43" s="206">
        <f ca="1">IF(NOT(ISERROR(MATCH(J43,'Tabla Impacto'!$B$221:$B$223,0))),'Tabla Impacto'!$F$223&amp;"Por favor no seleccionar los criterios de impacto(Afectación Económica o presupuestal y Pérdida Reputacional)",J43)</f>
        <v>0</v>
      </c>
      <c r="L43" s="203" t="str">
        <f ca="1">IF(OR(K43='Tabla Impacto'!$C$11,K43='Tabla Impacto'!$D$11),"Leve",IF(OR(K43='Tabla Impacto'!$C$12,K43='Tabla Impacto'!$D$12),"Menor",IF(OR(K43='Tabla Impacto'!$C$13,K43='Tabla Impacto'!$D$13),"Moderado",IF(OR(K43='Tabla Impacto'!$C$14,K43='Tabla Impacto'!$D$14),"Mayor",IF(OR(K43='Tabla Impacto'!$C$15,K43='Tabla Impacto'!$D$15),"Catastrófico","")))))</f>
        <v/>
      </c>
      <c r="M43" s="206" t="str">
        <f ca="1">IF(L43="","",IF(L43="Leve",0.2,IF(L43="Menor",0.4,IF(L43="Moderado",0.6,IF(L43="Mayor",0.8,IF(L43="Catastrófico",1,))))))</f>
        <v/>
      </c>
      <c r="N43" s="197" t="str">
        <f ca="1">IF(OR(AND(H43="Muy Baja",L43="Leve"),AND(H43="Muy Baja",L43="Menor"),AND(H43="Baja",L43="Leve")),"Bajo",IF(OR(AND(H43="Muy baja",L43="Moderado"),AND(H43="Baja",L43="Menor"),AND(H43="Baja",L43="Moderado"),AND(H43="Media",L43="Leve"),AND(H43="Media",L43="Menor"),AND(H43="Media",L43="Moderado"),AND(H43="Alta",L43="Leve"),AND(H43="Alta",L43="Menor")),"Moderado",IF(OR(AND(H43="Muy Baja",L43="Mayor"),AND(H43="Baja",L43="Mayor"),AND(H43="Media",L43="Mayor"),AND(H43="Alta",L43="Moderado"),AND(H43="Alta",L43="Mayor"),AND(H43="Muy Alta",L43="Leve"),AND(H43="Muy Alta",L43="Menor"),AND(H43="Muy Alta",L43="Moderado"),AND(H43="Muy Alta",L43="Mayor")),"Alto",IF(OR(AND(H43="Muy Baja",L43="Catastrófico"),AND(H43="Baja",L43="Catastrófico"),AND(H43="Media",L43="Catastrófico"),AND(H43="Alta",L43="Catastrófico"),AND(H43="Muy Alta",L43="Catastrófico")),"Extremo",""))))</f>
        <v/>
      </c>
      <c r="O43" s="123">
        <v>1</v>
      </c>
      <c r="P43" s="124"/>
      <c r="Q43" s="125" t="str">
        <f>IF(OR(R43="Preventivo",R43="Detectivo"),"Probabilidad",IF(R43="Correctivo","Impacto",""))</f>
        <v/>
      </c>
      <c r="R43" s="126"/>
      <c r="S43" s="126"/>
      <c r="T43" s="127" t="str">
        <f>IF(AND(R43="Preventivo",S43="Automático"),"50%",IF(AND(R43="Preventivo",S43="Manual"),"40%",IF(AND(R43="Detectivo",S43="Automático"),"40%",IF(AND(R43="Detectivo",S43="Manual"),"30%",IF(AND(R43="Correctivo",S43="Automático"),"35%",IF(AND(R43="Correctivo",S43="Manual"),"25%",""))))))</f>
        <v/>
      </c>
      <c r="U43" s="126"/>
      <c r="V43" s="126"/>
      <c r="W43" s="126"/>
      <c r="X43" s="128" t="str">
        <f>IFERROR(IF(Q43="Probabilidad",(I43-(+I43*T43)),IF(Q43="Impacto",I43,"")),"")</f>
        <v/>
      </c>
      <c r="Y43" s="129" t="str">
        <f>IFERROR(IF(X43="","",IF(X43&lt;=0.2,"Muy Baja",IF(X43&lt;=0.4,"Baja",IF(X43&lt;=0.6,"Media",IF(X43&lt;=0.8,"Alta","Muy Alta"))))),"")</f>
        <v/>
      </c>
      <c r="Z43" s="130" t="str">
        <f>+X43</f>
        <v/>
      </c>
      <c r="AA43" s="129" t="str">
        <f>IFERROR(IF(AB43="","",IF(AB43&lt;=0.2,"Leve",IF(AB43&lt;=0.4,"Menor",IF(AB43&lt;=0.6,"Moderado",IF(AB43&lt;=0.8,"Mayor","Catastrófico"))))),"")</f>
        <v/>
      </c>
      <c r="AB43" s="130" t="str">
        <f>IFERROR(IF(Q43="Impacto",(M43-(+M43*T43)),IF(Q43="Probabilidad",M43,"")),"")</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ref="K44:K48" ca="1" si="45">IF(NOT(ISERROR(MATCH(J44,_xlfn.ANCHORARRAY(E55),0))),I57&amp;"Por favor no seleccionar los criterios de impacto",J44)</f>
        <v>0</v>
      </c>
      <c r="L44" s="204"/>
      <c r="M44" s="207"/>
      <c r="N44" s="198"/>
      <c r="O44" s="123">
        <v>2</v>
      </c>
      <c r="P44" s="124"/>
      <c r="Q44" s="125" t="str">
        <f>IF(OR(R44="Preventivo",R44="Detectivo"),"Probabilidad",IF(R44="Correctivo","Impacto",""))</f>
        <v/>
      </c>
      <c r="R44" s="126"/>
      <c r="S44" s="126"/>
      <c r="T44" s="127" t="str">
        <f t="shared" ref="T44:T48" si="46">IF(AND(R44="Preventivo",S44="Automático"),"50%",IF(AND(R44="Preventivo",S44="Manual"),"40%",IF(AND(R44="Detectivo",S44="Automático"),"40%",IF(AND(R44="Detectivo",S44="Manual"),"30%",IF(AND(R44="Correctivo",S44="Automático"),"35%",IF(AND(R44="Correctivo",S44="Manual"),"25%",""))))))</f>
        <v/>
      </c>
      <c r="U44" s="126"/>
      <c r="V44" s="126"/>
      <c r="W44" s="126"/>
      <c r="X44" s="128" t="str">
        <f>IFERROR(IF(AND(Q43="Probabilidad",Q44="Probabilidad"),(Z43-(+Z43*T44)),IF(Q44="Probabilidad",(I43-(+I43*T44)),IF(Q44="Impacto",Z43,""))),"")</f>
        <v/>
      </c>
      <c r="Y44" s="129" t="str">
        <f t="shared" si="2"/>
        <v/>
      </c>
      <c r="Z44" s="130" t="str">
        <f t="shared" ref="Z44:Z48" si="47">+X44</f>
        <v/>
      </c>
      <c r="AA44" s="129" t="str">
        <f t="shared" si="4"/>
        <v/>
      </c>
      <c r="AB44" s="130" t="str">
        <f>IFERROR(IF(AND(Q43="Impacto",Q44="Impacto"),(AB37-(+AB37*T44)),IF(Q44="Impacto",($M$43-(+$M$43*T44)),IF(Q44="Probabilidad",AB37,""))),"")</f>
        <v/>
      </c>
      <c r="AC44" s="131" t="str">
        <f t="shared" ref="AC44:AC45" si="48">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3"/>
      <c r="B45" s="192"/>
      <c r="C45" s="192"/>
      <c r="D45" s="192"/>
      <c r="E45" s="216"/>
      <c r="F45" s="192"/>
      <c r="G45" s="195"/>
      <c r="H45" s="204"/>
      <c r="I45" s="207"/>
      <c r="J45" s="210"/>
      <c r="K45" s="207">
        <f t="shared" ca="1" si="45"/>
        <v>0</v>
      </c>
      <c r="L45" s="204"/>
      <c r="M45" s="207"/>
      <c r="N45" s="198"/>
      <c r="O45" s="123">
        <v>3</v>
      </c>
      <c r="P45" s="136"/>
      <c r="Q45" s="125" t="str">
        <f>IF(OR(R45="Preventivo",R45="Detectivo"),"Probabilidad",IF(R45="Correctivo","Impacto",""))</f>
        <v/>
      </c>
      <c r="R45" s="126"/>
      <c r="S45" s="126"/>
      <c r="T45" s="127" t="str">
        <f t="shared" si="46"/>
        <v/>
      </c>
      <c r="U45" s="126"/>
      <c r="V45" s="126"/>
      <c r="W45" s="126"/>
      <c r="X45" s="128" t="str">
        <f>IFERROR(IF(AND(Q44="Probabilidad",Q45="Probabilidad"),(Z44-(+Z44*T45)),IF(AND(Q44="Impacto",Q45="Probabilidad"),(Z43-(+Z43*T45)),IF(Q45="Impacto",Z44,""))),"")</f>
        <v/>
      </c>
      <c r="Y45" s="129" t="str">
        <f t="shared" si="2"/>
        <v/>
      </c>
      <c r="Z45" s="130" t="str">
        <f t="shared" si="47"/>
        <v/>
      </c>
      <c r="AA45" s="129" t="str">
        <f t="shared" si="4"/>
        <v/>
      </c>
      <c r="AB45" s="130" t="str">
        <f>IFERROR(IF(AND(Q44="Impacto",Q45="Impacto"),(AB44-(+AB44*T45)),IF(AND(Q44="Probabilidad",Q45="Impacto"),(AB43-(+AB43*T45)),IF(Q45="Probabilidad",AB44,""))),"")</f>
        <v/>
      </c>
      <c r="AC45" s="131" t="str">
        <f t="shared" si="48"/>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3"/>
      <c r="B46" s="192"/>
      <c r="C46" s="192"/>
      <c r="D46" s="192"/>
      <c r="E46" s="216"/>
      <c r="F46" s="192"/>
      <c r="G46" s="195"/>
      <c r="H46" s="204"/>
      <c r="I46" s="207"/>
      <c r="J46" s="210"/>
      <c r="K46" s="207">
        <f t="shared" ca="1" si="45"/>
        <v>0</v>
      </c>
      <c r="L46" s="204"/>
      <c r="M46" s="207"/>
      <c r="N46" s="198"/>
      <c r="O46" s="123">
        <v>4</v>
      </c>
      <c r="P46" s="124"/>
      <c r="Q46" s="125" t="str">
        <f t="shared" ref="Q46:Q48" si="49">IF(OR(R46="Preventivo",R46="Detectivo"),"Probabilidad",IF(R46="Correctivo","Impacto",""))</f>
        <v/>
      </c>
      <c r="R46" s="126"/>
      <c r="S46" s="126"/>
      <c r="T46" s="127" t="str">
        <f t="shared" si="46"/>
        <v/>
      </c>
      <c r="U46" s="126"/>
      <c r="V46" s="126"/>
      <c r="W46" s="126"/>
      <c r="X46" s="128" t="str">
        <f t="shared" ref="X46:X48" si="50">IFERROR(IF(AND(Q45="Probabilidad",Q46="Probabilidad"),(Z45-(+Z45*T46)),IF(AND(Q45="Impacto",Q46="Probabilidad"),(Z44-(+Z44*T46)),IF(Q46="Impacto",Z45,""))),"")</f>
        <v/>
      </c>
      <c r="Y46" s="129" t="str">
        <f t="shared" si="2"/>
        <v/>
      </c>
      <c r="Z46" s="130" t="str">
        <f t="shared" si="47"/>
        <v/>
      </c>
      <c r="AA46" s="129" t="str">
        <f t="shared" si="4"/>
        <v/>
      </c>
      <c r="AB46" s="130" t="str">
        <f t="shared" ref="AB46:AB48" si="51">IFERROR(IF(AND(Q45="Impacto",Q46="Impacto"),(AB45-(+AB45*T46)),IF(AND(Q45="Probabilidad",Q46="Impacto"),(AB44-(+AB44*T46)),IF(Q46="Probabilidad",AB45,""))),"")</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ca="1" si="45"/>
        <v>0</v>
      </c>
      <c r="L47" s="204"/>
      <c r="M47" s="207"/>
      <c r="N47" s="198"/>
      <c r="O47" s="123">
        <v>5</v>
      </c>
      <c r="P47" s="124"/>
      <c r="Q47" s="125" t="str">
        <f t="shared" si="49"/>
        <v/>
      </c>
      <c r="R47" s="126"/>
      <c r="S47" s="126"/>
      <c r="T47" s="127" t="str">
        <f t="shared" si="46"/>
        <v/>
      </c>
      <c r="U47" s="126"/>
      <c r="V47" s="126"/>
      <c r="W47" s="126"/>
      <c r="X47" s="128" t="str">
        <f t="shared" si="50"/>
        <v/>
      </c>
      <c r="Y47" s="129" t="str">
        <f t="shared" si="2"/>
        <v/>
      </c>
      <c r="Z47" s="130" t="str">
        <f t="shared" si="47"/>
        <v/>
      </c>
      <c r="AA47" s="129" t="str">
        <f t="shared" si="4"/>
        <v/>
      </c>
      <c r="AB47" s="130" t="str">
        <f t="shared" si="51"/>
        <v/>
      </c>
      <c r="AC47" s="131" t="str">
        <f t="shared" ref="AC47:AC48" si="52">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4"/>
      <c r="B48" s="193"/>
      <c r="C48" s="193"/>
      <c r="D48" s="193"/>
      <c r="E48" s="217"/>
      <c r="F48" s="193"/>
      <c r="G48" s="196"/>
      <c r="H48" s="205"/>
      <c r="I48" s="208"/>
      <c r="J48" s="211"/>
      <c r="K48" s="208">
        <f t="shared" ca="1" si="45"/>
        <v>0</v>
      </c>
      <c r="L48" s="205"/>
      <c r="M48" s="208"/>
      <c r="N48" s="199"/>
      <c r="O48" s="123">
        <v>6</v>
      </c>
      <c r="P48" s="124"/>
      <c r="Q48" s="125" t="str">
        <f t="shared" si="49"/>
        <v/>
      </c>
      <c r="R48" s="126"/>
      <c r="S48" s="126"/>
      <c r="T48" s="127" t="str">
        <f t="shared" si="46"/>
        <v/>
      </c>
      <c r="U48" s="126"/>
      <c r="V48" s="126"/>
      <c r="W48" s="126"/>
      <c r="X48" s="128" t="str">
        <f t="shared" si="50"/>
        <v/>
      </c>
      <c r="Y48" s="129" t="str">
        <f t="shared" si="2"/>
        <v/>
      </c>
      <c r="Z48" s="130" t="str">
        <f t="shared" si="47"/>
        <v/>
      </c>
      <c r="AA48" s="129" t="str">
        <f t="shared" si="4"/>
        <v/>
      </c>
      <c r="AB48" s="130" t="str">
        <f t="shared" si="51"/>
        <v/>
      </c>
      <c r="AC48" s="131" t="str">
        <f t="shared" si="52"/>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2">
        <v>8</v>
      </c>
      <c r="B49" s="191"/>
      <c r="C49" s="191"/>
      <c r="D49" s="191"/>
      <c r="E49" s="215"/>
      <c r="F49" s="191"/>
      <c r="G49" s="194"/>
      <c r="H49" s="203" t="str">
        <f>IF(G49&lt;=0,"",IF(G49&lt;=2,"Muy Baja",IF(G49&lt;=24,"Baja",IF(G49&lt;=500,"Media",IF(G49&lt;=5000,"Alta","Muy Alta")))))</f>
        <v/>
      </c>
      <c r="I49" s="206" t="str">
        <f>IF(H49="","",IF(H49="Muy Baja",0.2,IF(H49="Baja",0.4,IF(H49="Media",0.6,IF(H49="Alta",0.8,IF(H49="Muy Alta",1,))))))</f>
        <v/>
      </c>
      <c r="J49" s="209"/>
      <c r="K49" s="206">
        <f ca="1">IF(NOT(ISERROR(MATCH(J49,'Tabla Impacto'!$B$221:$B$223,0))),'Tabla Impacto'!$F$223&amp;"Por favor no seleccionar los criterios de impacto(Afectación Económica o presupuestal y Pérdida Reputacional)",J49)</f>
        <v>0</v>
      </c>
      <c r="L49" s="203" t="str">
        <f ca="1">IF(OR(K49='Tabla Impacto'!$C$11,K49='Tabla Impacto'!$D$11),"Leve",IF(OR(K49='Tabla Impacto'!$C$12,K49='Tabla Impacto'!$D$12),"Menor",IF(OR(K49='Tabla Impacto'!$C$13,K49='Tabla Impacto'!$D$13),"Moderado",IF(OR(K49='Tabla Impacto'!$C$14,K49='Tabla Impacto'!$D$14),"Mayor",IF(OR(K49='Tabla Impacto'!$C$15,K49='Tabla Impacto'!$D$15),"Catastrófico","")))))</f>
        <v/>
      </c>
      <c r="M49" s="206" t="str">
        <f ca="1">IF(L49="","",IF(L49="Leve",0.2,IF(L49="Menor",0.4,IF(L49="Moderado",0.6,IF(L49="Mayor",0.8,IF(L49="Catastrófico",1,))))))</f>
        <v/>
      </c>
      <c r="N49" s="197" t="str">
        <f ca="1">IF(OR(AND(H49="Muy Baja",L49="Leve"),AND(H49="Muy Baja",L49="Menor"),AND(H49="Baja",L49="Leve")),"Bajo",IF(OR(AND(H49="Muy baja",L49="Moderado"),AND(H49="Baja",L49="Menor"),AND(H49="Baja",L49="Moderado"),AND(H49="Media",L49="Leve"),AND(H49="Media",L49="Menor"),AND(H49="Media",L49="Moderado"),AND(H49="Alta",L49="Leve"),AND(H49="Alta",L49="Menor")),"Moderado",IF(OR(AND(H49="Muy Baja",L49="Mayor"),AND(H49="Baja",L49="Mayor"),AND(H49="Media",L49="Mayor"),AND(H49="Alta",L49="Moderado"),AND(H49="Alta",L49="Mayor"),AND(H49="Muy Alta",L49="Leve"),AND(H49="Muy Alta",L49="Menor"),AND(H49="Muy Alta",L49="Moderado"),AND(H49="Muy Alta",L49="Mayor")),"Alto",IF(OR(AND(H49="Muy Baja",L49="Catastrófico"),AND(H49="Baja",L49="Catastrófico"),AND(H49="Media",L49="Catastrófico"),AND(H49="Alta",L49="Catastrófico"),AND(H49="Muy Alta",L49="Catastrófico")),"Extremo",""))))</f>
        <v/>
      </c>
      <c r="O49" s="123">
        <v>1</v>
      </c>
      <c r="P49" s="124"/>
      <c r="Q49" s="125" t="str">
        <f>IF(OR(R49="Preventivo",R49="Detectivo"),"Probabilidad",IF(R49="Correctivo","Impacto",""))</f>
        <v/>
      </c>
      <c r="R49" s="126"/>
      <c r="S49" s="126"/>
      <c r="T49" s="127" t="str">
        <f>IF(AND(R49="Preventivo",S49="Automático"),"50%",IF(AND(R49="Preventivo",S49="Manual"),"40%",IF(AND(R49="Detectivo",S49="Automático"),"40%",IF(AND(R49="Detectivo",S49="Manual"),"30%",IF(AND(R49="Correctivo",S49="Automático"),"35%",IF(AND(R49="Correctivo",S49="Manual"),"25%",""))))))</f>
        <v/>
      </c>
      <c r="U49" s="126"/>
      <c r="V49" s="126"/>
      <c r="W49" s="126"/>
      <c r="X49" s="128" t="str">
        <f>IFERROR(IF(Q49="Probabilidad",(I49-(+I49*T49)),IF(Q49="Impacto",I49,"")),"")</f>
        <v/>
      </c>
      <c r="Y49" s="129" t="str">
        <f>IFERROR(IF(X49="","",IF(X49&lt;=0.2,"Muy Baja",IF(X49&lt;=0.4,"Baja",IF(X49&lt;=0.6,"Media",IF(X49&lt;=0.8,"Alta","Muy Alta"))))),"")</f>
        <v/>
      </c>
      <c r="Z49" s="130" t="str">
        <f>+X49</f>
        <v/>
      </c>
      <c r="AA49" s="129" t="str">
        <f>IFERROR(IF(AB49="","",IF(AB49&lt;=0.2,"Leve",IF(AB49&lt;=0.4,"Menor",IF(AB49&lt;=0.6,"Moderado",IF(AB49&lt;=0.8,"Mayor","Catastrófico"))))),"")</f>
        <v/>
      </c>
      <c r="AB49" s="130" t="str">
        <f>IFERROR(IF(Q49="Impacto",(M49-(+M49*T49)),IF(Q49="Probabilidad",M49,"")),"")</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ca="1">IF(NOT(ISERROR(MATCH(J50,_xlfn.ANCHORARRAY(E61),0))),I63&amp;"Por favor no seleccionar los criterios de impacto",J50)</f>
        <v>0</v>
      </c>
      <c r="L50" s="204"/>
      <c r="M50" s="207"/>
      <c r="N50" s="198"/>
      <c r="O50" s="123">
        <v>2</v>
      </c>
      <c r="P50" s="124"/>
      <c r="Q50" s="125" t="str">
        <f>IF(OR(R50="Preventivo",R50="Detectivo"),"Probabilidad",IF(R50="Correctivo","Impacto",""))</f>
        <v/>
      </c>
      <c r="R50" s="126"/>
      <c r="S50" s="126"/>
      <c r="T50" s="127" t="str">
        <f t="shared" ref="T50:T54" si="53">IF(AND(R50="Preventivo",S50="Automático"),"50%",IF(AND(R50="Preventivo",S50="Manual"),"40%",IF(AND(R50="Detectivo",S50="Automático"),"40%",IF(AND(R50="Detectivo",S50="Manual"),"30%",IF(AND(R50="Correctivo",S50="Automático"),"35%",IF(AND(R50="Correctivo",S50="Manual"),"25%",""))))))</f>
        <v/>
      </c>
      <c r="U50" s="126"/>
      <c r="V50" s="126"/>
      <c r="W50" s="126"/>
      <c r="X50" s="128" t="str">
        <f>IFERROR(IF(AND(Q49="Probabilidad",Q50="Probabilidad"),(Z49-(+Z49*T50)),IF(Q50="Probabilidad",(I49-(+I49*T50)),IF(Q50="Impacto",Z49,""))),"")</f>
        <v/>
      </c>
      <c r="Y50" s="129" t="str">
        <f t="shared" si="2"/>
        <v/>
      </c>
      <c r="Z50" s="130" t="str">
        <f t="shared" ref="Z50:Z54" si="54">+X50</f>
        <v/>
      </c>
      <c r="AA50" s="129" t="str">
        <f t="shared" si="4"/>
        <v/>
      </c>
      <c r="AB50" s="130" t="str">
        <f>IFERROR(IF(AND(Q49="Impacto",Q50="Impacto"),(AB43-(+AB43*T50)),IF(Q50="Impacto",($M$49-(+$M$49*T50)),IF(Q50="Probabilidad",AB43,""))),"")</f>
        <v/>
      </c>
      <c r="AC50" s="131" t="str">
        <f t="shared" ref="AC50:AC51" si="55">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3"/>
      <c r="B51" s="192"/>
      <c r="C51" s="192"/>
      <c r="D51" s="192"/>
      <c r="E51" s="216"/>
      <c r="F51" s="192"/>
      <c r="G51" s="195"/>
      <c r="H51" s="204"/>
      <c r="I51" s="207"/>
      <c r="J51" s="210"/>
      <c r="K51" s="207">
        <f ca="1">IF(NOT(ISERROR(MATCH(J51,_xlfn.ANCHORARRAY(E62),0))),I64&amp;"Por favor no seleccionar los criterios de impacto",J51)</f>
        <v>0</v>
      </c>
      <c r="L51" s="204"/>
      <c r="M51" s="207"/>
      <c r="N51" s="198"/>
      <c r="O51" s="123">
        <v>3</v>
      </c>
      <c r="P51" s="136"/>
      <c r="Q51" s="125" t="str">
        <f>IF(OR(R51="Preventivo",R51="Detectivo"),"Probabilidad",IF(R51="Correctivo","Impacto",""))</f>
        <v/>
      </c>
      <c r="R51" s="126"/>
      <c r="S51" s="126"/>
      <c r="T51" s="127" t="str">
        <f t="shared" si="53"/>
        <v/>
      </c>
      <c r="U51" s="126"/>
      <c r="V51" s="126"/>
      <c r="W51" s="126"/>
      <c r="X51" s="128" t="str">
        <f>IFERROR(IF(AND(Q50="Probabilidad",Q51="Probabilidad"),(Z50-(+Z50*T51)),IF(AND(Q50="Impacto",Q51="Probabilidad"),(Z49-(+Z49*T51)),IF(Q51="Impacto",Z50,""))),"")</f>
        <v/>
      </c>
      <c r="Y51" s="129" t="str">
        <f t="shared" si="2"/>
        <v/>
      </c>
      <c r="Z51" s="130" t="str">
        <f t="shared" si="54"/>
        <v/>
      </c>
      <c r="AA51" s="129" t="str">
        <f t="shared" si="4"/>
        <v/>
      </c>
      <c r="AB51" s="130" t="str">
        <f>IFERROR(IF(AND(Q50="Impacto",Q51="Impacto"),(AB50-(+AB50*T51)),IF(AND(Q50="Probabilidad",Q51="Impacto"),(AB49-(+AB49*T51)),IF(Q51="Probabilidad",AB50,""))),"")</f>
        <v/>
      </c>
      <c r="AC51" s="131" t="str">
        <f t="shared" si="55"/>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3"/>
      <c r="B52" s="192"/>
      <c r="C52" s="192"/>
      <c r="D52" s="192"/>
      <c r="E52" s="216"/>
      <c r="F52" s="192"/>
      <c r="G52" s="195"/>
      <c r="H52" s="204"/>
      <c r="I52" s="207"/>
      <c r="J52" s="210"/>
      <c r="K52" s="207">
        <f ca="1">IF(NOT(ISERROR(MATCH(J52,_xlfn.ANCHORARRAY(E63),0))),I65&amp;"Por favor no seleccionar los criterios de impacto",J52)</f>
        <v>0</v>
      </c>
      <c r="L52" s="204"/>
      <c r="M52" s="207"/>
      <c r="N52" s="198"/>
      <c r="O52" s="123">
        <v>4</v>
      </c>
      <c r="P52" s="124"/>
      <c r="Q52" s="125" t="str">
        <f t="shared" ref="Q52:Q54" si="56">IF(OR(R52="Preventivo",R52="Detectivo"),"Probabilidad",IF(R52="Correctivo","Impacto",""))</f>
        <v/>
      </c>
      <c r="R52" s="126"/>
      <c r="S52" s="126"/>
      <c r="T52" s="127" t="str">
        <f t="shared" si="53"/>
        <v/>
      </c>
      <c r="U52" s="126"/>
      <c r="V52" s="126"/>
      <c r="W52" s="126"/>
      <c r="X52" s="128" t="str">
        <f t="shared" ref="X52:X54" si="57">IFERROR(IF(AND(Q51="Probabilidad",Q52="Probabilidad"),(Z51-(+Z51*T52)),IF(AND(Q51="Impacto",Q52="Probabilidad"),(Z50-(+Z50*T52)),IF(Q52="Impacto",Z51,""))),"")</f>
        <v/>
      </c>
      <c r="Y52" s="129" t="str">
        <f t="shared" si="2"/>
        <v/>
      </c>
      <c r="Z52" s="130" t="str">
        <f t="shared" si="54"/>
        <v/>
      </c>
      <c r="AA52" s="129" t="str">
        <f t="shared" si="4"/>
        <v/>
      </c>
      <c r="AB52" s="130" t="str">
        <f t="shared" ref="AB52:AB54" si="58">IFERROR(IF(AND(Q51="Impacto",Q52="Impacto"),(AB51-(+AB51*T52)),IF(AND(Q51="Probabilidad",Q52="Impacto"),(AB50-(+AB50*T52)),IF(Q52="Probabilidad",AB51,""))),"")</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5</v>
      </c>
      <c r="P53" s="124"/>
      <c r="Q53" s="125" t="str">
        <f t="shared" si="56"/>
        <v/>
      </c>
      <c r="R53" s="126"/>
      <c r="S53" s="126"/>
      <c r="T53" s="127" t="str">
        <f t="shared" si="53"/>
        <v/>
      </c>
      <c r="U53" s="126"/>
      <c r="V53" s="126"/>
      <c r="W53" s="126"/>
      <c r="X53" s="128" t="str">
        <f t="shared" si="57"/>
        <v/>
      </c>
      <c r="Y53" s="129" t="str">
        <f t="shared" si="2"/>
        <v/>
      </c>
      <c r="Z53" s="130" t="str">
        <f t="shared" si="54"/>
        <v/>
      </c>
      <c r="AA53" s="129" t="str">
        <f t="shared" si="4"/>
        <v/>
      </c>
      <c r="AB53" s="130" t="str">
        <f t="shared" si="58"/>
        <v/>
      </c>
      <c r="AC53" s="131" t="str">
        <f t="shared" ref="AC53:AC54" si="59">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4"/>
      <c r="B54" s="193"/>
      <c r="C54" s="193"/>
      <c r="D54" s="193"/>
      <c r="E54" s="217"/>
      <c r="F54" s="193"/>
      <c r="G54" s="196"/>
      <c r="H54" s="205"/>
      <c r="I54" s="208"/>
      <c r="J54" s="211"/>
      <c r="K54" s="208">
        <f ca="1">IF(NOT(ISERROR(MATCH(J54,_xlfn.ANCHORARRAY(E65),0))),I67&amp;"Por favor no seleccionar los criterios de impacto",J54)</f>
        <v>0</v>
      </c>
      <c r="L54" s="205"/>
      <c r="M54" s="208"/>
      <c r="N54" s="199"/>
      <c r="O54" s="123">
        <v>6</v>
      </c>
      <c r="P54" s="124"/>
      <c r="Q54" s="125" t="str">
        <f t="shared" si="56"/>
        <v/>
      </c>
      <c r="R54" s="126"/>
      <c r="S54" s="126"/>
      <c r="T54" s="127" t="str">
        <f t="shared" si="53"/>
        <v/>
      </c>
      <c r="U54" s="126"/>
      <c r="V54" s="126"/>
      <c r="W54" s="126"/>
      <c r="X54" s="128" t="str">
        <f t="shared" si="57"/>
        <v/>
      </c>
      <c r="Y54" s="129" t="str">
        <f t="shared" si="2"/>
        <v/>
      </c>
      <c r="Z54" s="130" t="str">
        <f t="shared" si="54"/>
        <v/>
      </c>
      <c r="AA54" s="129" t="str">
        <f t="shared" si="4"/>
        <v/>
      </c>
      <c r="AB54" s="130" t="str">
        <f t="shared" si="58"/>
        <v/>
      </c>
      <c r="AC54" s="131" t="str">
        <f t="shared" si="59"/>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2">
        <v>9</v>
      </c>
      <c r="B55" s="191"/>
      <c r="C55" s="191"/>
      <c r="D55" s="191"/>
      <c r="E55" s="215"/>
      <c r="F55" s="191"/>
      <c r="G55" s="194"/>
      <c r="H55" s="203" t="str">
        <f>IF(G55&lt;=0,"",IF(G55&lt;=2,"Muy Baja",IF(G55&lt;=24,"Baja",IF(G55&lt;=500,"Media",IF(G55&lt;=5000,"Alta","Muy Alta")))))</f>
        <v/>
      </c>
      <c r="I55" s="206" t="str">
        <f>IF(H55="","",IF(H55="Muy Baja",0.2,IF(H55="Baja",0.4,IF(H55="Media",0.6,IF(H55="Alta",0.8,IF(H55="Muy Alta",1,))))))</f>
        <v/>
      </c>
      <c r="J55" s="209"/>
      <c r="K55" s="206">
        <f ca="1">IF(NOT(ISERROR(MATCH(J55,'Tabla Impacto'!$B$221:$B$223,0))),'Tabla Impacto'!$F$223&amp;"Por favor no seleccionar los criterios de impacto(Afectación Económica o presupuestal y Pérdida Reputacional)",J55)</f>
        <v>0</v>
      </c>
      <c r="L55" s="203" t="str">
        <f ca="1">IF(OR(K55='Tabla Impacto'!$C$11,K55='Tabla Impacto'!$D$11),"Leve",IF(OR(K55='Tabla Impacto'!$C$12,K55='Tabla Impacto'!$D$12),"Menor",IF(OR(K55='Tabla Impacto'!$C$13,K55='Tabla Impacto'!$D$13),"Moderado",IF(OR(K55='Tabla Impacto'!$C$14,K55='Tabla Impacto'!$D$14),"Mayor",IF(OR(K55='Tabla Impacto'!$C$15,K55='Tabla Impacto'!$D$15),"Catastrófico","")))))</f>
        <v/>
      </c>
      <c r="M55" s="206" t="str">
        <f ca="1">IF(L55="","",IF(L55="Leve",0.2,IF(L55="Menor",0.4,IF(L55="Moderado",0.6,IF(L55="Mayor",0.8,IF(L55="Catastrófico",1,))))))</f>
        <v/>
      </c>
      <c r="N55" s="197" t="str">
        <f ca="1">IF(OR(AND(H55="Muy Baja",L55="Leve"),AND(H55="Muy Baja",L55="Menor"),AND(H55="Baja",L55="Leve")),"Bajo",IF(OR(AND(H55="Muy baja",L55="Moderado"),AND(H55="Baja",L55="Menor"),AND(H55="Baja",L55="Moderado"),AND(H55="Media",L55="Leve"),AND(H55="Media",L55="Menor"),AND(H55="Media",L55="Moderado"),AND(H55="Alta",L55="Leve"),AND(H55="Alta",L55="Menor")),"Moderado",IF(OR(AND(H55="Muy Baja",L55="Mayor"),AND(H55="Baja",L55="Mayor"),AND(H55="Media",L55="Mayor"),AND(H55="Alta",L55="Moderado"),AND(H55="Alta",L55="Mayor"),AND(H55="Muy Alta",L55="Leve"),AND(H55="Muy Alta",L55="Menor"),AND(H55="Muy Alta",L55="Moderado"),AND(H55="Muy Alta",L55="Mayor")),"Alto",IF(OR(AND(H55="Muy Baja",L55="Catastrófico"),AND(H55="Baja",L55="Catastrófico"),AND(H55="Media",L55="Catastrófico"),AND(H55="Alta",L55="Catastrófico"),AND(H55="Muy Alta",L55="Catastrófico")),"Extremo",""))))</f>
        <v/>
      </c>
      <c r="O55" s="123">
        <v>1</v>
      </c>
      <c r="P55" s="124"/>
      <c r="Q55" s="125" t="str">
        <f>IF(OR(R55="Preventivo",R55="Detectivo"),"Probabilidad",IF(R55="Correctivo","Impacto",""))</f>
        <v/>
      </c>
      <c r="R55" s="126"/>
      <c r="S55" s="126"/>
      <c r="T55" s="127" t="str">
        <f>IF(AND(R55="Preventivo",S55="Automático"),"50%",IF(AND(R55="Preventivo",S55="Manual"),"40%",IF(AND(R55="Detectivo",S55="Automático"),"40%",IF(AND(R55="Detectivo",S55="Manual"),"30%",IF(AND(R55="Correctivo",S55="Automático"),"35%",IF(AND(R55="Correctivo",S55="Manual"),"25%",""))))))</f>
        <v/>
      </c>
      <c r="U55" s="126"/>
      <c r="V55" s="126"/>
      <c r="W55" s="126"/>
      <c r="X55" s="128" t="str">
        <f>IFERROR(IF(Q55="Probabilidad",(I55-(+I55*T55)),IF(Q55="Impacto",I55,"")),"")</f>
        <v/>
      </c>
      <c r="Y55" s="129" t="str">
        <f>IFERROR(IF(X55="","",IF(X55&lt;=0.2,"Muy Baja",IF(X55&lt;=0.4,"Baja",IF(X55&lt;=0.6,"Media",IF(X55&lt;=0.8,"Alta","Muy Alta"))))),"")</f>
        <v/>
      </c>
      <c r="Z55" s="130" t="str">
        <f>+X55</f>
        <v/>
      </c>
      <c r="AA55" s="129" t="str">
        <f>IFERROR(IF(AB55="","",IF(AB55&lt;=0.2,"Leve",IF(AB55&lt;=0.4,"Menor",IF(AB55&lt;=0.6,"Moderado",IF(AB55&lt;=0.8,"Mayor","Catastrófico"))))),"")</f>
        <v/>
      </c>
      <c r="AB55" s="130" t="str">
        <f>IFERROR(IF(Q55="Impacto",(M55-(+M55*T55)),IF(Q55="Probabilidad",M55,"")),"")</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2</v>
      </c>
      <c r="P56" s="124"/>
      <c r="Q56" s="125" t="str">
        <f>IF(OR(R56="Preventivo",R56="Detectivo"),"Probabilidad",IF(R56="Correctivo","Impacto",""))</f>
        <v/>
      </c>
      <c r="R56" s="126"/>
      <c r="S56" s="126"/>
      <c r="T56" s="127" t="str">
        <f t="shared" ref="T56:T60" si="60">IF(AND(R56="Preventivo",S56="Automático"),"50%",IF(AND(R56="Preventivo",S56="Manual"),"40%",IF(AND(R56="Detectivo",S56="Automático"),"40%",IF(AND(R56="Detectivo",S56="Manual"),"30%",IF(AND(R56="Correctivo",S56="Automático"),"35%",IF(AND(R56="Correctivo",S56="Manual"),"25%",""))))))</f>
        <v/>
      </c>
      <c r="U56" s="126"/>
      <c r="V56" s="126"/>
      <c r="W56" s="126"/>
      <c r="X56" s="128" t="str">
        <f>IFERROR(IF(AND(Q55="Probabilidad",Q56="Probabilidad"),(Z55-(+Z55*T56)),IF(Q56="Probabilidad",(I55-(+I55*T56)),IF(Q56="Impacto",Z55,""))),"")</f>
        <v/>
      </c>
      <c r="Y56" s="129" t="str">
        <f t="shared" si="2"/>
        <v/>
      </c>
      <c r="Z56" s="130" t="str">
        <f t="shared" ref="Z56:Z60" si="61">+X56</f>
        <v/>
      </c>
      <c r="AA56" s="129" t="str">
        <f t="shared" si="4"/>
        <v/>
      </c>
      <c r="AB56" s="130" t="str">
        <f>IFERROR(IF(AND(Q55="Impacto",Q56="Impacto"),(AB49-(+AB49*T56)),IF(Q56="Impacto",($M$55-(+$M$55*T56)),IF(Q56="Probabilidad",AB49,""))),"")</f>
        <v/>
      </c>
      <c r="AC56" s="131" t="str">
        <f t="shared" ref="AC56:AC57" si="62">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3"/>
      <c r="B57" s="192"/>
      <c r="C57" s="192"/>
      <c r="D57" s="192"/>
      <c r="E57" s="216"/>
      <c r="F57" s="192"/>
      <c r="G57" s="195"/>
      <c r="H57" s="204"/>
      <c r="I57" s="207"/>
      <c r="J57" s="210"/>
      <c r="K57" s="207">
        <f ca="1">IF(NOT(ISERROR(MATCH(J57,_xlfn.ANCHORARRAY(E68),0))),I70&amp;"Por favor no seleccionar los criterios de impacto",J57)</f>
        <v>0</v>
      </c>
      <c r="L57" s="204"/>
      <c r="M57" s="207"/>
      <c r="N57" s="198"/>
      <c r="O57" s="123">
        <v>3</v>
      </c>
      <c r="P57" s="136"/>
      <c r="Q57" s="125" t="str">
        <f>IF(OR(R57="Preventivo",R57="Detectivo"),"Probabilidad",IF(R57="Correctivo","Impacto",""))</f>
        <v/>
      </c>
      <c r="R57" s="126"/>
      <c r="S57" s="126"/>
      <c r="T57" s="127" t="str">
        <f t="shared" si="60"/>
        <v/>
      </c>
      <c r="U57" s="126"/>
      <c r="V57" s="126"/>
      <c r="W57" s="126"/>
      <c r="X57" s="128" t="str">
        <f>IFERROR(IF(AND(Q56="Probabilidad",Q57="Probabilidad"),(Z56-(+Z56*T57)),IF(AND(Q56="Impacto",Q57="Probabilidad"),(Z55-(+Z55*T57)),IF(Q57="Impacto",Z56,""))),"")</f>
        <v/>
      </c>
      <c r="Y57" s="129" t="str">
        <f t="shared" si="2"/>
        <v/>
      </c>
      <c r="Z57" s="130" t="str">
        <f t="shared" si="61"/>
        <v/>
      </c>
      <c r="AA57" s="129" t="str">
        <f t="shared" si="4"/>
        <v/>
      </c>
      <c r="AB57" s="130" t="str">
        <f>IFERROR(IF(AND(Q56="Impacto",Q57="Impacto"),(AB56-(+AB56*T57)),IF(AND(Q56="Probabilidad",Q57="Impacto"),(AB55-(+AB55*T57)),IF(Q57="Probabilidad",AB56,""))),"")</f>
        <v/>
      </c>
      <c r="AC57" s="131" t="str">
        <f t="shared" si="62"/>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3"/>
      <c r="B58" s="192"/>
      <c r="C58" s="192"/>
      <c r="D58" s="192"/>
      <c r="E58" s="216"/>
      <c r="F58" s="192"/>
      <c r="G58" s="195"/>
      <c r="H58" s="204"/>
      <c r="I58" s="207"/>
      <c r="J58" s="210"/>
      <c r="K58" s="207">
        <f ca="1">IF(NOT(ISERROR(MATCH(J58,_xlfn.ANCHORARRAY(E69),0))),I71&amp;"Por favor no seleccionar los criterios de impacto",J58)</f>
        <v>0</v>
      </c>
      <c r="L58" s="204"/>
      <c r="M58" s="207"/>
      <c r="N58" s="198"/>
      <c r="O58" s="123">
        <v>4</v>
      </c>
      <c r="P58" s="124"/>
      <c r="Q58" s="125" t="str">
        <f t="shared" ref="Q58:Q60" si="63">IF(OR(R58="Preventivo",R58="Detectivo"),"Probabilidad",IF(R58="Correctivo","Impacto",""))</f>
        <v/>
      </c>
      <c r="R58" s="126"/>
      <c r="S58" s="126"/>
      <c r="T58" s="127" t="str">
        <f t="shared" si="60"/>
        <v/>
      </c>
      <c r="U58" s="126"/>
      <c r="V58" s="126"/>
      <c r="W58" s="126"/>
      <c r="X58" s="128" t="str">
        <f t="shared" ref="X58:X60" si="64">IFERROR(IF(AND(Q57="Probabilidad",Q58="Probabilidad"),(Z57-(+Z57*T58)),IF(AND(Q57="Impacto",Q58="Probabilidad"),(Z56-(+Z56*T58)),IF(Q58="Impacto",Z57,""))),"")</f>
        <v/>
      </c>
      <c r="Y58" s="129" t="str">
        <f t="shared" si="2"/>
        <v/>
      </c>
      <c r="Z58" s="130" t="str">
        <f t="shared" si="61"/>
        <v/>
      </c>
      <c r="AA58" s="129" t="str">
        <f t="shared" si="4"/>
        <v/>
      </c>
      <c r="AB58" s="130" t="str">
        <f t="shared" ref="AB58:AB60" si="65">IFERROR(IF(AND(Q57="Impacto",Q58="Impacto"),(AB57-(+AB57*T58)),IF(AND(Q57="Probabilidad",Q58="Impacto"),(AB56-(+AB56*T58)),IF(Q58="Probabilidad",AB57,""))),"")</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5</v>
      </c>
      <c r="P59" s="124"/>
      <c r="Q59" s="125" t="str">
        <f t="shared" si="63"/>
        <v/>
      </c>
      <c r="R59" s="126"/>
      <c r="S59" s="126"/>
      <c r="T59" s="127" t="str">
        <f t="shared" si="60"/>
        <v/>
      </c>
      <c r="U59" s="126"/>
      <c r="V59" s="126"/>
      <c r="W59" s="126"/>
      <c r="X59" s="128" t="str">
        <f t="shared" si="64"/>
        <v/>
      </c>
      <c r="Y59" s="129" t="str">
        <f t="shared" si="2"/>
        <v/>
      </c>
      <c r="Z59" s="130" t="str">
        <f t="shared" si="61"/>
        <v/>
      </c>
      <c r="AA59" s="129" t="str">
        <f t="shared" si="4"/>
        <v/>
      </c>
      <c r="AB59" s="130" t="str">
        <f t="shared" si="65"/>
        <v/>
      </c>
      <c r="AC59" s="131" t="str">
        <f t="shared" ref="AC59:AC60" si="66">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4"/>
      <c r="B60" s="193"/>
      <c r="C60" s="193"/>
      <c r="D60" s="193"/>
      <c r="E60" s="217"/>
      <c r="F60" s="193"/>
      <c r="G60" s="196"/>
      <c r="H60" s="205"/>
      <c r="I60" s="208"/>
      <c r="J60" s="211"/>
      <c r="K60" s="208">
        <f ca="1">IF(NOT(ISERROR(MATCH(J60,_xlfn.ANCHORARRAY(E71),0))),I73&amp;"Por favor no seleccionar los criterios de impacto",J60)</f>
        <v>0</v>
      </c>
      <c r="L60" s="205"/>
      <c r="M60" s="208"/>
      <c r="N60" s="199"/>
      <c r="O60" s="123">
        <v>6</v>
      </c>
      <c r="P60" s="124"/>
      <c r="Q60" s="125" t="str">
        <f t="shared" si="63"/>
        <v/>
      </c>
      <c r="R60" s="126"/>
      <c r="S60" s="126"/>
      <c r="T60" s="127" t="str">
        <f t="shared" si="60"/>
        <v/>
      </c>
      <c r="U60" s="126"/>
      <c r="V60" s="126"/>
      <c r="W60" s="126"/>
      <c r="X60" s="128" t="str">
        <f t="shared" si="64"/>
        <v/>
      </c>
      <c r="Y60" s="129" t="str">
        <f t="shared" si="2"/>
        <v/>
      </c>
      <c r="Z60" s="130" t="str">
        <f t="shared" si="61"/>
        <v/>
      </c>
      <c r="AA60" s="129" t="str">
        <f t="shared" si="4"/>
        <v/>
      </c>
      <c r="AB60" s="130" t="str">
        <f t="shared" si="65"/>
        <v/>
      </c>
      <c r="AC60" s="131" t="str">
        <f t="shared" si="66"/>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2">
        <v>10</v>
      </c>
      <c r="B61" s="191"/>
      <c r="C61" s="191"/>
      <c r="D61" s="191"/>
      <c r="E61" s="215"/>
      <c r="F61" s="191"/>
      <c r="G61" s="194"/>
      <c r="H61" s="203" t="str">
        <f>IF(G61&lt;=0,"",IF(G61&lt;=2,"Muy Baja",IF(G61&lt;=24,"Baja",IF(G61&lt;=500,"Media",IF(G61&lt;=5000,"Alta","Muy Alta")))))</f>
        <v/>
      </c>
      <c r="I61" s="206" t="str">
        <f>IF(H61="","",IF(H61="Muy Baja",0.2,IF(H61="Baja",0.4,IF(H61="Media",0.6,IF(H61="Alta",0.8,IF(H61="Muy Alta",1,))))))</f>
        <v/>
      </c>
      <c r="J61" s="209"/>
      <c r="K61" s="206">
        <f ca="1">IF(NOT(ISERROR(MATCH(J61,'Tabla Impacto'!$B$221:$B$223,0))),'Tabla Impacto'!$F$223&amp;"Por favor no seleccionar los criterios de impacto(Afectación Económica o presupuestal y Pérdida Reputacional)",J61)</f>
        <v>0</v>
      </c>
      <c r="L61" s="203" t="str">
        <f ca="1">IF(OR(K61='Tabla Impacto'!$C$11,K61='Tabla Impacto'!$D$11),"Leve",IF(OR(K61='Tabla Impacto'!$C$12,K61='Tabla Impacto'!$D$12),"Menor",IF(OR(K61='Tabla Impacto'!$C$13,K61='Tabla Impacto'!$D$13),"Moderado",IF(OR(K61='Tabla Impacto'!$C$14,K61='Tabla Impacto'!$D$14),"Mayor",IF(OR(K61='Tabla Impacto'!$C$15,K61='Tabla Impacto'!$D$15),"Catastrófico","")))))</f>
        <v/>
      </c>
      <c r="M61" s="206" t="str">
        <f ca="1">IF(L61="","",IF(L61="Leve",0.2,IF(L61="Menor",0.4,IF(L61="Moderado",0.6,IF(L61="Mayor",0.8,IF(L61="Catastrófico",1,))))))</f>
        <v/>
      </c>
      <c r="N61" s="197" t="str">
        <f ca="1">IF(OR(AND(H61="Muy Baja",L61="Leve"),AND(H61="Muy Baja",L61="Menor"),AND(H61="Baja",L61="Leve")),"Bajo",IF(OR(AND(H61="Muy baja",L61="Moderado"),AND(H61="Baja",L61="Menor"),AND(H61="Baja",L61="Moderado"),AND(H61="Media",L61="Leve"),AND(H61="Media",L61="Menor"),AND(H61="Media",L61="Moderado"),AND(H61="Alta",L61="Leve"),AND(H61="Alta",L61="Menor")),"Moderado",IF(OR(AND(H61="Muy Baja",L61="Mayor"),AND(H61="Baja",L61="Mayor"),AND(H61="Media",L61="Mayor"),AND(H61="Alta",L61="Moderado"),AND(H61="Alta",L61="Mayor"),AND(H61="Muy Alta",L61="Leve"),AND(H61="Muy Alta",L61="Menor"),AND(H61="Muy Alta",L61="Moderado"),AND(H61="Muy Alta",L61="Mayor")),"Alto",IF(OR(AND(H61="Muy Baja",L61="Catastrófico"),AND(H61="Baja",L61="Catastrófico"),AND(H61="Media",L61="Catastrófico"),AND(H61="Alta",L61="Catastrófico"),AND(H61="Muy Alta",L61="Catastrófico")),"Extremo",""))))</f>
        <v/>
      </c>
      <c r="O61" s="123">
        <v>1</v>
      </c>
      <c r="P61" s="124"/>
      <c r="Q61" s="125" t="str">
        <f>IF(OR(R61="Preventivo",R61="Detectivo"),"Probabilidad",IF(R61="Correctivo","Impacto",""))</f>
        <v/>
      </c>
      <c r="R61" s="126"/>
      <c r="S61" s="126"/>
      <c r="T61" s="127" t="str">
        <f>IF(AND(R61="Preventivo",S61="Automático"),"50%",IF(AND(R61="Preventivo",S61="Manual"),"40%",IF(AND(R61="Detectivo",S61="Automático"),"40%",IF(AND(R61="Detectivo",S61="Manual"),"30%",IF(AND(R61="Correctivo",S61="Automático"),"35%",IF(AND(R61="Correctivo",S61="Manual"),"25%",""))))))</f>
        <v/>
      </c>
      <c r="U61" s="126"/>
      <c r="V61" s="126"/>
      <c r="W61" s="126"/>
      <c r="X61" s="128" t="str">
        <f>IFERROR(IF(Q61="Probabilidad",(I61-(+I61*T61)),IF(Q61="Impacto",I61,"")),"")</f>
        <v/>
      </c>
      <c r="Y61" s="129" t="str">
        <f>IFERROR(IF(X61="","",IF(X61&lt;=0.2,"Muy Baja",IF(X61&lt;=0.4,"Baja",IF(X61&lt;=0.6,"Media",IF(X61&lt;=0.8,"Alta","Muy Alta"))))),"")</f>
        <v/>
      </c>
      <c r="Z61" s="130" t="str">
        <f>+X61</f>
        <v/>
      </c>
      <c r="AA61" s="129" t="str">
        <f>IFERROR(IF(AB61="","",IF(AB61&lt;=0.2,"Leve",IF(AB61&lt;=0.4,"Menor",IF(AB61&lt;=0.6,"Moderado",IF(AB61&lt;=0.8,"Mayor","Catastrófico"))))),"")</f>
        <v/>
      </c>
      <c r="AB61" s="130" t="str">
        <f>IFERROR(IF(Q61="Impacto",(M61-(+M61*T61)),IF(Q61="Probabilidad",M61,"")),"")</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2</v>
      </c>
      <c r="P62" s="124"/>
      <c r="Q62" s="125" t="str">
        <f>IF(OR(R62="Preventivo",R62="Detectivo"),"Probabilidad",IF(R62="Correctivo","Impacto",""))</f>
        <v/>
      </c>
      <c r="R62" s="126"/>
      <c r="S62" s="126"/>
      <c r="T62" s="127" t="str">
        <f t="shared" ref="T62:T66" si="67">IF(AND(R62="Preventivo",S62="Automático"),"50%",IF(AND(R62="Preventivo",S62="Manual"),"40%",IF(AND(R62="Detectivo",S62="Automático"),"40%",IF(AND(R62="Detectivo",S62="Manual"),"30%",IF(AND(R62="Correctivo",S62="Automático"),"35%",IF(AND(R62="Correctivo",S62="Manual"),"25%",""))))))</f>
        <v/>
      </c>
      <c r="U62" s="126"/>
      <c r="V62" s="126"/>
      <c r="W62" s="126"/>
      <c r="X62" s="128" t="str">
        <f>IFERROR(IF(AND(Q61="Probabilidad",Q62="Probabilidad"),(Z61-(+Z61*T62)),IF(Q62="Probabilidad",(I61-(+I61*T62)),IF(Q62="Impacto",Z61,""))),"")</f>
        <v/>
      </c>
      <c r="Y62" s="129" t="str">
        <f t="shared" si="2"/>
        <v/>
      </c>
      <c r="Z62" s="130" t="str">
        <f t="shared" ref="Z62:Z66" si="68">+X62</f>
        <v/>
      </c>
      <c r="AA62" s="129" t="str">
        <f t="shared" si="4"/>
        <v/>
      </c>
      <c r="AB62" s="130" t="str">
        <f>IFERROR(IF(AND(Q61="Impacto",Q62="Impacto"),(AB55-(+AB55*T62)),IF(Q62="Impacto",($M$61-(+$M$61*T62)),IF(Q62="Probabilidad",AB55,""))),"")</f>
        <v/>
      </c>
      <c r="AC62" s="131" t="str">
        <f t="shared" ref="AC62:AC63" si="69">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row>
    <row r="63" spans="1:68" ht="151.5" customHeight="1" x14ac:dyDescent="0.3">
      <c r="A63" s="213"/>
      <c r="B63" s="192"/>
      <c r="C63" s="192"/>
      <c r="D63" s="192"/>
      <c r="E63" s="216"/>
      <c r="F63" s="192"/>
      <c r="G63" s="195"/>
      <c r="H63" s="204"/>
      <c r="I63" s="207"/>
      <c r="J63" s="210"/>
      <c r="K63" s="207">
        <f ca="1">IF(NOT(ISERROR(MATCH(J63,_xlfn.ANCHORARRAY(E74),0))),I76&amp;"Por favor no seleccionar los criterios de impacto",J63)</f>
        <v>0</v>
      </c>
      <c r="L63" s="204"/>
      <c r="M63" s="207"/>
      <c r="N63" s="198"/>
      <c r="O63" s="123">
        <v>3</v>
      </c>
      <c r="P63" s="136"/>
      <c r="Q63" s="125" t="str">
        <f>IF(OR(R63="Preventivo",R63="Detectivo"),"Probabilidad",IF(R63="Correctivo","Impacto",""))</f>
        <v/>
      </c>
      <c r="R63" s="126"/>
      <c r="S63" s="126"/>
      <c r="T63" s="127" t="str">
        <f t="shared" si="67"/>
        <v/>
      </c>
      <c r="U63" s="126"/>
      <c r="V63" s="126"/>
      <c r="W63" s="126"/>
      <c r="X63" s="128" t="str">
        <f>IFERROR(IF(AND(Q62="Probabilidad",Q63="Probabilidad"),(Z62-(+Z62*T63)),IF(AND(Q62="Impacto",Q63="Probabilidad"),(Z61-(+Z61*T63)),IF(Q63="Impacto",Z62,""))),"")</f>
        <v/>
      </c>
      <c r="Y63" s="129" t="str">
        <f t="shared" si="2"/>
        <v/>
      </c>
      <c r="Z63" s="130" t="str">
        <f t="shared" si="68"/>
        <v/>
      </c>
      <c r="AA63" s="129" t="str">
        <f t="shared" si="4"/>
        <v/>
      </c>
      <c r="AB63" s="130" t="str">
        <f>IFERROR(IF(AND(Q62="Impacto",Q63="Impacto"),(AB62-(+AB62*T63)),IF(AND(Q62="Probabilidad",Q63="Impacto"),(AB61-(+AB61*T63)),IF(Q63="Probabilidad",AB62,""))),"")</f>
        <v/>
      </c>
      <c r="AC63" s="131" t="str">
        <f t="shared" si="69"/>
        <v/>
      </c>
      <c r="AD63" s="132"/>
      <c r="AE63" s="133"/>
      <c r="AF63" s="134"/>
      <c r="AG63" s="135"/>
      <c r="AH63" s="135"/>
      <c r="AI63" s="133"/>
      <c r="AJ63" s="134"/>
    </row>
    <row r="64" spans="1:68" ht="151.5" customHeight="1" x14ac:dyDescent="0.3">
      <c r="A64" s="213"/>
      <c r="B64" s="192"/>
      <c r="C64" s="192"/>
      <c r="D64" s="192"/>
      <c r="E64" s="216"/>
      <c r="F64" s="192"/>
      <c r="G64" s="195"/>
      <c r="H64" s="204"/>
      <c r="I64" s="207"/>
      <c r="J64" s="210"/>
      <c r="K64" s="207">
        <f ca="1">IF(NOT(ISERROR(MATCH(J64,_xlfn.ANCHORARRAY(E75),0))),I77&amp;"Por favor no seleccionar los criterios de impacto",J64)</f>
        <v>0</v>
      </c>
      <c r="L64" s="204"/>
      <c r="M64" s="207"/>
      <c r="N64" s="198"/>
      <c r="O64" s="123">
        <v>4</v>
      </c>
      <c r="P64" s="124"/>
      <c r="Q64" s="125" t="str">
        <f t="shared" ref="Q64:Q66" si="70">IF(OR(R64="Preventivo",R64="Detectivo"),"Probabilidad",IF(R64="Correctivo","Impacto",""))</f>
        <v/>
      </c>
      <c r="R64" s="126"/>
      <c r="S64" s="126"/>
      <c r="T64" s="127" t="str">
        <f t="shared" si="67"/>
        <v/>
      </c>
      <c r="U64" s="126"/>
      <c r="V64" s="126"/>
      <c r="W64" s="126"/>
      <c r="X64" s="128" t="str">
        <f t="shared" ref="X64:X66" si="71">IFERROR(IF(AND(Q63="Probabilidad",Q64="Probabilidad"),(Z63-(+Z63*T64)),IF(AND(Q63="Impacto",Q64="Probabilidad"),(Z62-(+Z62*T64)),IF(Q64="Impacto",Z63,""))),"")</f>
        <v/>
      </c>
      <c r="Y64" s="129" t="str">
        <f t="shared" si="2"/>
        <v/>
      </c>
      <c r="Z64" s="130" t="str">
        <f t="shared" si="68"/>
        <v/>
      </c>
      <c r="AA64" s="129" t="str">
        <f t="shared" si="4"/>
        <v/>
      </c>
      <c r="AB64" s="130" t="str">
        <f t="shared" ref="AB64:AB66" si="72">IFERROR(IF(AND(Q63="Impacto",Q64="Impacto"),(AB63-(+AB63*T64)),IF(AND(Q63="Probabilidad",Q64="Impacto"),(AB62-(+AB62*T64)),IF(Q64="Probabilidad",AB63,""))),"")</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5</v>
      </c>
      <c r="P65" s="124"/>
      <c r="Q65" s="125" t="str">
        <f t="shared" si="70"/>
        <v/>
      </c>
      <c r="R65" s="126"/>
      <c r="S65" s="126"/>
      <c r="T65" s="127" t="str">
        <f t="shared" si="67"/>
        <v/>
      </c>
      <c r="U65" s="126"/>
      <c r="V65" s="126"/>
      <c r="W65" s="126"/>
      <c r="X65" s="128" t="str">
        <f t="shared" si="71"/>
        <v/>
      </c>
      <c r="Y65" s="129" t="str">
        <f t="shared" si="2"/>
        <v/>
      </c>
      <c r="Z65" s="130" t="str">
        <f t="shared" si="68"/>
        <v/>
      </c>
      <c r="AA65" s="129" t="str">
        <f t="shared" si="4"/>
        <v/>
      </c>
      <c r="AB65" s="130" t="str">
        <f t="shared" si="72"/>
        <v/>
      </c>
      <c r="AC65" s="131" t="str">
        <f t="shared" ref="AC65:AC66" si="73">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4"/>
      <c r="B66" s="193"/>
      <c r="C66" s="193"/>
      <c r="D66" s="193"/>
      <c r="E66" s="217"/>
      <c r="F66" s="193"/>
      <c r="G66" s="196"/>
      <c r="H66" s="205"/>
      <c r="I66" s="208"/>
      <c r="J66" s="211"/>
      <c r="K66" s="208">
        <f ca="1">IF(NOT(ISERROR(MATCH(J66,_xlfn.ANCHORARRAY(E77),0))),I79&amp;"Por favor no seleccionar los criterios de impacto",J66)</f>
        <v>0</v>
      </c>
      <c r="L66" s="205"/>
      <c r="M66" s="208"/>
      <c r="N66" s="199"/>
      <c r="O66" s="123">
        <v>6</v>
      </c>
      <c r="P66" s="124"/>
      <c r="Q66" s="125" t="str">
        <f t="shared" si="70"/>
        <v/>
      </c>
      <c r="R66" s="126"/>
      <c r="S66" s="126"/>
      <c r="T66" s="127" t="str">
        <f t="shared" si="67"/>
        <v/>
      </c>
      <c r="U66" s="126"/>
      <c r="V66" s="126"/>
      <c r="W66" s="126"/>
      <c r="X66" s="128" t="str">
        <f t="shared" si="71"/>
        <v/>
      </c>
      <c r="Y66" s="129" t="str">
        <f t="shared" si="2"/>
        <v/>
      </c>
      <c r="Z66" s="130" t="str">
        <f t="shared" si="68"/>
        <v/>
      </c>
      <c r="AA66" s="129" t="str">
        <f t="shared" si="4"/>
        <v/>
      </c>
      <c r="AB66" s="130" t="str">
        <f t="shared" si="72"/>
        <v/>
      </c>
      <c r="AC66" s="131" t="str">
        <f t="shared" si="73"/>
        <v/>
      </c>
      <c r="AD66" s="132"/>
      <c r="AE66" s="133"/>
      <c r="AF66" s="134"/>
      <c r="AG66" s="135"/>
      <c r="AH66" s="135"/>
      <c r="AI66" s="133"/>
      <c r="AJ66" s="134"/>
    </row>
    <row r="67" spans="1:36" ht="49.5" customHeight="1" x14ac:dyDescent="0.3">
      <c r="A67" s="6"/>
      <c r="B67" s="200" t="s">
        <v>131</v>
      </c>
      <c r="C67" s="201"/>
      <c r="D67" s="201"/>
      <c r="E67" s="201"/>
      <c r="F67" s="201"/>
      <c r="G67" s="201"/>
      <c r="H67" s="201"/>
      <c r="I67" s="201"/>
      <c r="J67" s="201"/>
      <c r="K67" s="201"/>
      <c r="L67" s="201"/>
      <c r="M67" s="201"/>
      <c r="N67" s="201"/>
      <c r="O67" s="201"/>
      <c r="P67" s="201"/>
      <c r="Q67" s="201"/>
      <c r="R67" s="201"/>
      <c r="S67" s="201"/>
      <c r="T67" s="201"/>
      <c r="U67" s="201"/>
      <c r="V67" s="201"/>
      <c r="W67" s="201"/>
      <c r="X67" s="201"/>
      <c r="Y67" s="201"/>
      <c r="Z67" s="201"/>
      <c r="AA67" s="201"/>
      <c r="AB67" s="201"/>
      <c r="AC67" s="201"/>
      <c r="AD67" s="201"/>
      <c r="AE67" s="201"/>
      <c r="AF67" s="201"/>
      <c r="AG67" s="201"/>
      <c r="AH67" s="201"/>
      <c r="AI67" s="201"/>
      <c r="AJ67" s="202"/>
    </row>
    <row r="69" spans="1:36" x14ac:dyDescent="0.3">
      <c r="A69" s="1"/>
      <c r="B69" s="24" t="s">
        <v>143</v>
      </c>
      <c r="C69" s="1"/>
      <c r="D69" s="1"/>
      <c r="F69" s="1"/>
    </row>
  </sheetData>
  <dataConsolidate/>
  <mergeCells count="185">
    <mergeCell ref="B67:AJ67"/>
    <mergeCell ref="I61:I66"/>
    <mergeCell ref="J61:J66"/>
    <mergeCell ref="K61:K66"/>
    <mergeCell ref="L61:L66"/>
    <mergeCell ref="M61:M66"/>
    <mergeCell ref="N61:N66"/>
    <mergeCell ref="M55:M60"/>
    <mergeCell ref="N55:N60"/>
    <mergeCell ref="I55:I60"/>
    <mergeCell ref="J55:J60"/>
    <mergeCell ref="K55:K60"/>
    <mergeCell ref="L55:L60"/>
    <mergeCell ref="A61:A66"/>
    <mergeCell ref="B61:B66"/>
    <mergeCell ref="C61:C66"/>
    <mergeCell ref="D61:D66"/>
    <mergeCell ref="E61:E66"/>
    <mergeCell ref="F61:F66"/>
    <mergeCell ref="G61:G66"/>
    <mergeCell ref="H61:H66"/>
    <mergeCell ref="G55:G60"/>
    <mergeCell ref="H55:H60"/>
    <mergeCell ref="A55:A60"/>
    <mergeCell ref="B55:B60"/>
    <mergeCell ref="C55:C60"/>
    <mergeCell ref="D55:D60"/>
    <mergeCell ref="E55:E60"/>
    <mergeCell ref="F55:F60"/>
    <mergeCell ref="I49:I54"/>
    <mergeCell ref="J49:J54"/>
    <mergeCell ref="K49:K54"/>
    <mergeCell ref="L49:L54"/>
    <mergeCell ref="M49:M54"/>
    <mergeCell ref="N49:N54"/>
    <mergeCell ref="M43:M48"/>
    <mergeCell ref="N43:N48"/>
    <mergeCell ref="A49:A54"/>
    <mergeCell ref="B49:B54"/>
    <mergeCell ref="C49:C54"/>
    <mergeCell ref="D49:D54"/>
    <mergeCell ref="E49:E54"/>
    <mergeCell ref="F49:F54"/>
    <mergeCell ref="G49:G54"/>
    <mergeCell ref="H49:H54"/>
    <mergeCell ref="G43:G48"/>
    <mergeCell ref="H43:H48"/>
    <mergeCell ref="I43:I48"/>
    <mergeCell ref="J43:J48"/>
    <mergeCell ref="K43:K48"/>
    <mergeCell ref="L43:L48"/>
    <mergeCell ref="A43:A48"/>
    <mergeCell ref="B43:B48"/>
    <mergeCell ref="C43:C48"/>
    <mergeCell ref="D43:D48"/>
    <mergeCell ref="E43:E48"/>
    <mergeCell ref="F43:F48"/>
    <mergeCell ref="I37:I42"/>
    <mergeCell ref="J37:J42"/>
    <mergeCell ref="K37:K42"/>
    <mergeCell ref="L37:L42"/>
    <mergeCell ref="M37:M42"/>
    <mergeCell ref="N37:N42"/>
    <mergeCell ref="M31:M36"/>
    <mergeCell ref="N31:N36"/>
    <mergeCell ref="A37:A42"/>
    <mergeCell ref="B37:B42"/>
    <mergeCell ref="C37:C42"/>
    <mergeCell ref="D37:D42"/>
    <mergeCell ref="E37:E42"/>
    <mergeCell ref="F37:F42"/>
    <mergeCell ref="G37:G42"/>
    <mergeCell ref="H37:H42"/>
    <mergeCell ref="G31:G36"/>
    <mergeCell ref="H31:H36"/>
    <mergeCell ref="I31:I36"/>
    <mergeCell ref="J31:J36"/>
    <mergeCell ref="K31:K36"/>
    <mergeCell ref="L31:L36"/>
    <mergeCell ref="A31:A36"/>
    <mergeCell ref="B31:B36"/>
    <mergeCell ref="C31:C36"/>
    <mergeCell ref="D31:D36"/>
    <mergeCell ref="E31:E36"/>
    <mergeCell ref="F31:F36"/>
    <mergeCell ref="I25:I30"/>
    <mergeCell ref="J25:J30"/>
    <mergeCell ref="K25:K30"/>
    <mergeCell ref="L25:L30"/>
    <mergeCell ref="M25:M30"/>
    <mergeCell ref="N25:N30"/>
    <mergeCell ref="M19:M24"/>
    <mergeCell ref="N19:N24"/>
    <mergeCell ref="A25:A30"/>
    <mergeCell ref="B25:B30"/>
    <mergeCell ref="C25:C30"/>
    <mergeCell ref="D25:D30"/>
    <mergeCell ref="E25:E30"/>
    <mergeCell ref="F25:F30"/>
    <mergeCell ref="G25:G30"/>
    <mergeCell ref="H25:H30"/>
    <mergeCell ref="G19:G24"/>
    <mergeCell ref="H19:H24"/>
    <mergeCell ref="I19:I24"/>
    <mergeCell ref="J19:J24"/>
    <mergeCell ref="K19:K24"/>
    <mergeCell ref="L19:L24"/>
    <mergeCell ref="A19:A24"/>
    <mergeCell ref="B19:B24"/>
    <mergeCell ref="C19:C24"/>
    <mergeCell ref="D19:D24"/>
    <mergeCell ref="E19:E24"/>
    <mergeCell ref="F19:F24"/>
    <mergeCell ref="I13:I18"/>
    <mergeCell ref="J13:J18"/>
    <mergeCell ref="K13:K18"/>
    <mergeCell ref="L13:L18"/>
    <mergeCell ref="M13:M18"/>
    <mergeCell ref="M10:M12"/>
    <mergeCell ref="N10:N12"/>
    <mergeCell ref="A13:A18"/>
    <mergeCell ref="B13:B18"/>
    <mergeCell ref="C13:C18"/>
    <mergeCell ref="D13:D18"/>
    <mergeCell ref="E13:E18"/>
    <mergeCell ref="F13:F18"/>
    <mergeCell ref="G13:G18"/>
    <mergeCell ref="H13:H18"/>
    <mergeCell ref="G10:G12"/>
    <mergeCell ref="H10:H12"/>
    <mergeCell ref="I10:I12"/>
    <mergeCell ref="J10:J12"/>
    <mergeCell ref="K10:K12"/>
    <mergeCell ref="L10:L12"/>
    <mergeCell ref="A10:A12"/>
    <mergeCell ref="B10:B12"/>
    <mergeCell ref="C10:C12"/>
    <mergeCell ref="D10:D12"/>
    <mergeCell ref="E10:E12"/>
    <mergeCell ref="F10:F12"/>
    <mergeCell ref="AB8:AB9"/>
    <mergeCell ref="AC8:AC9"/>
    <mergeCell ref="P8:P9"/>
    <mergeCell ref="Q8:Q9"/>
    <mergeCell ref="R8:W8"/>
    <mergeCell ref="X8:X9"/>
    <mergeCell ref="Y8:Y9"/>
    <mergeCell ref="Z8:Z9"/>
    <mergeCell ref="N13:N18"/>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3 Y10:Y66">
    <cfRule type="cellIs" dxfId="906" priority="101" operator="equal">
      <formula>"Muy Alta"</formula>
    </cfRule>
    <cfRule type="cellIs" dxfId="905" priority="102" operator="equal">
      <formula>"Alta"</formula>
    </cfRule>
    <cfRule type="cellIs" dxfId="904" priority="103" operator="equal">
      <formula>"Media"</formula>
    </cfRule>
    <cfRule type="cellIs" dxfId="903" priority="104" operator="equal">
      <formula>"Baja"</formula>
    </cfRule>
    <cfRule type="cellIs" dxfId="902" priority="105" operator="equal">
      <formula>"Muy Baja"</formula>
    </cfRule>
  </conditionalFormatting>
  <conditionalFormatting sqref="H19">
    <cfRule type="cellIs" dxfId="901" priority="83" operator="equal">
      <formula>"Muy Alta"</formula>
    </cfRule>
    <cfRule type="cellIs" dxfId="900" priority="84" operator="equal">
      <formula>"Alta"</formula>
    </cfRule>
    <cfRule type="cellIs" dxfId="899" priority="85" operator="equal">
      <formula>"Media"</formula>
    </cfRule>
    <cfRule type="cellIs" dxfId="898" priority="86" operator="equal">
      <formula>"Baja"</formula>
    </cfRule>
    <cfRule type="cellIs" dxfId="897" priority="87" operator="equal">
      <formula>"Muy Baja"</formula>
    </cfRule>
  </conditionalFormatting>
  <conditionalFormatting sqref="H25">
    <cfRule type="cellIs" dxfId="896" priority="74" operator="equal">
      <formula>"Muy Alta"</formula>
    </cfRule>
    <cfRule type="cellIs" dxfId="895" priority="75" operator="equal">
      <formula>"Alta"</formula>
    </cfRule>
    <cfRule type="cellIs" dxfId="894" priority="76" operator="equal">
      <formula>"Media"</formula>
    </cfRule>
    <cfRule type="cellIs" dxfId="893" priority="77" operator="equal">
      <formula>"Baja"</formula>
    </cfRule>
    <cfRule type="cellIs" dxfId="892" priority="78" operator="equal">
      <formula>"Muy Baja"</formula>
    </cfRule>
  </conditionalFormatting>
  <conditionalFormatting sqref="H31">
    <cfRule type="cellIs" dxfId="891" priority="65" operator="equal">
      <formula>"Muy Alta"</formula>
    </cfRule>
    <cfRule type="cellIs" dxfId="890" priority="66" operator="equal">
      <formula>"Alta"</formula>
    </cfRule>
    <cfRule type="cellIs" dxfId="889" priority="67" operator="equal">
      <formula>"Media"</formula>
    </cfRule>
    <cfRule type="cellIs" dxfId="888" priority="68" operator="equal">
      <formula>"Baja"</formula>
    </cfRule>
    <cfRule type="cellIs" dxfId="887" priority="69" operator="equal">
      <formula>"Muy Baja"</formula>
    </cfRule>
  </conditionalFormatting>
  <conditionalFormatting sqref="H37">
    <cfRule type="cellIs" dxfId="886" priority="56" operator="equal">
      <formula>"Muy Alta"</formula>
    </cfRule>
    <cfRule type="cellIs" dxfId="885" priority="57" operator="equal">
      <formula>"Alta"</formula>
    </cfRule>
    <cfRule type="cellIs" dxfId="884" priority="58" operator="equal">
      <formula>"Media"</formula>
    </cfRule>
    <cfRule type="cellIs" dxfId="883" priority="59" operator="equal">
      <formula>"Baja"</formula>
    </cfRule>
    <cfRule type="cellIs" dxfId="882" priority="60" operator="equal">
      <formula>"Muy Baja"</formula>
    </cfRule>
  </conditionalFormatting>
  <conditionalFormatting sqref="H43">
    <cfRule type="cellIs" dxfId="881" priority="47" operator="equal">
      <formula>"Muy Alta"</formula>
    </cfRule>
    <cfRule type="cellIs" dxfId="880" priority="48" operator="equal">
      <formula>"Alta"</formula>
    </cfRule>
    <cfRule type="cellIs" dxfId="879" priority="49" operator="equal">
      <formula>"Media"</formula>
    </cfRule>
    <cfRule type="cellIs" dxfId="878" priority="50" operator="equal">
      <formula>"Baja"</formula>
    </cfRule>
    <cfRule type="cellIs" dxfId="877" priority="51" operator="equal">
      <formula>"Muy Baja"</formula>
    </cfRule>
  </conditionalFormatting>
  <conditionalFormatting sqref="H49">
    <cfRule type="cellIs" dxfId="876" priority="38" operator="equal">
      <formula>"Muy Alta"</formula>
    </cfRule>
    <cfRule type="cellIs" dxfId="875" priority="39" operator="equal">
      <formula>"Alta"</formula>
    </cfRule>
    <cfRule type="cellIs" dxfId="874" priority="40" operator="equal">
      <formula>"Media"</formula>
    </cfRule>
    <cfRule type="cellIs" dxfId="873" priority="41" operator="equal">
      <formula>"Baja"</formula>
    </cfRule>
    <cfRule type="cellIs" dxfId="872" priority="42" operator="equal">
      <formula>"Muy Baja"</formula>
    </cfRule>
  </conditionalFormatting>
  <conditionalFormatting sqref="H55">
    <cfRule type="cellIs" dxfId="871" priority="29" operator="equal">
      <formula>"Muy Alta"</formula>
    </cfRule>
    <cfRule type="cellIs" dxfId="870" priority="30" operator="equal">
      <formula>"Alta"</formula>
    </cfRule>
    <cfRule type="cellIs" dxfId="869" priority="31" operator="equal">
      <formula>"Media"</formula>
    </cfRule>
    <cfRule type="cellIs" dxfId="868" priority="32" operator="equal">
      <formula>"Baja"</formula>
    </cfRule>
    <cfRule type="cellIs" dxfId="867" priority="33" operator="equal">
      <formula>"Muy Baja"</formula>
    </cfRule>
  </conditionalFormatting>
  <conditionalFormatting sqref="H61">
    <cfRule type="cellIs" dxfId="866" priority="20" operator="equal">
      <formula>"Muy Alta"</formula>
    </cfRule>
    <cfRule type="cellIs" dxfId="865" priority="21" operator="equal">
      <formula>"Alta"</formula>
    </cfRule>
    <cfRule type="cellIs" dxfId="864" priority="22" operator="equal">
      <formula>"Media"</formula>
    </cfRule>
    <cfRule type="cellIs" dxfId="863" priority="23" operator="equal">
      <formula>"Baja"</formula>
    </cfRule>
    <cfRule type="cellIs" dxfId="862" priority="24" operator="equal">
      <formula>"Muy Baja"</formula>
    </cfRule>
  </conditionalFormatting>
  <conditionalFormatting sqref="K10:K66">
    <cfRule type="containsText" dxfId="861" priority="1" operator="containsText" text="❌">
      <formula>NOT(ISERROR(SEARCH("❌",K10)))</formula>
    </cfRule>
  </conditionalFormatting>
  <conditionalFormatting sqref="L10 L13 L19 L25 L31 L37 L43 L49 L55 L61 AA10:AA66">
    <cfRule type="cellIs" dxfId="860" priority="96" operator="equal">
      <formula>"Catastrófico"</formula>
    </cfRule>
    <cfRule type="cellIs" dxfId="859" priority="97" operator="equal">
      <formula>"Mayor"</formula>
    </cfRule>
    <cfRule type="cellIs" dxfId="858" priority="98" operator="equal">
      <formula>"Moderado"</formula>
    </cfRule>
    <cfRule type="cellIs" dxfId="857" priority="99" operator="equal">
      <formula>"Menor"</formula>
    </cfRule>
    <cfRule type="cellIs" dxfId="856" priority="100" operator="equal">
      <formula>"Leve"</formula>
    </cfRule>
  </conditionalFormatting>
  <conditionalFormatting sqref="N10 AC10:AC66">
    <cfRule type="cellIs" dxfId="855" priority="92" operator="equal">
      <formula>"Extremo"</formula>
    </cfRule>
    <cfRule type="cellIs" dxfId="854" priority="93" operator="equal">
      <formula>"Alto"</formula>
    </cfRule>
    <cfRule type="cellIs" dxfId="853" priority="94" operator="equal">
      <formula>"Moderado"</formula>
    </cfRule>
    <cfRule type="cellIs" dxfId="852" priority="95" operator="equal">
      <formula>"Bajo"</formula>
    </cfRule>
  </conditionalFormatting>
  <conditionalFormatting sqref="N13">
    <cfRule type="cellIs" dxfId="851" priority="88" operator="equal">
      <formula>"Extremo"</formula>
    </cfRule>
    <cfRule type="cellIs" dxfId="850" priority="89" operator="equal">
      <formula>"Alto"</formula>
    </cfRule>
    <cfRule type="cellIs" dxfId="849" priority="90" operator="equal">
      <formula>"Moderado"</formula>
    </cfRule>
    <cfRule type="cellIs" dxfId="848" priority="91" operator="equal">
      <formula>"Bajo"</formula>
    </cfRule>
  </conditionalFormatting>
  <conditionalFormatting sqref="N19">
    <cfRule type="cellIs" dxfId="847" priority="79" operator="equal">
      <formula>"Extremo"</formula>
    </cfRule>
    <cfRule type="cellIs" dxfId="846" priority="80" operator="equal">
      <formula>"Alto"</formula>
    </cfRule>
    <cfRule type="cellIs" dxfId="845" priority="81" operator="equal">
      <formula>"Moderado"</formula>
    </cfRule>
    <cfRule type="cellIs" dxfId="844" priority="82" operator="equal">
      <formula>"Bajo"</formula>
    </cfRule>
  </conditionalFormatting>
  <conditionalFormatting sqref="N25">
    <cfRule type="cellIs" dxfId="843" priority="70" operator="equal">
      <formula>"Extremo"</formula>
    </cfRule>
    <cfRule type="cellIs" dxfId="842" priority="71" operator="equal">
      <formula>"Alto"</formula>
    </cfRule>
    <cfRule type="cellIs" dxfId="841" priority="72" operator="equal">
      <formula>"Moderado"</formula>
    </cfRule>
    <cfRule type="cellIs" dxfId="840" priority="73" operator="equal">
      <formula>"Bajo"</formula>
    </cfRule>
  </conditionalFormatting>
  <conditionalFormatting sqref="N31">
    <cfRule type="cellIs" dxfId="839" priority="61" operator="equal">
      <formula>"Extremo"</formula>
    </cfRule>
    <cfRule type="cellIs" dxfId="838" priority="62" operator="equal">
      <formula>"Alto"</formula>
    </cfRule>
    <cfRule type="cellIs" dxfId="837" priority="63" operator="equal">
      <formula>"Moderado"</formula>
    </cfRule>
    <cfRule type="cellIs" dxfId="836" priority="64" operator="equal">
      <formula>"Bajo"</formula>
    </cfRule>
  </conditionalFormatting>
  <conditionalFormatting sqref="N37">
    <cfRule type="cellIs" dxfId="835" priority="52" operator="equal">
      <formula>"Extremo"</formula>
    </cfRule>
    <cfRule type="cellIs" dxfId="834" priority="53" operator="equal">
      <formula>"Alto"</formula>
    </cfRule>
    <cfRule type="cellIs" dxfId="833" priority="54" operator="equal">
      <formula>"Moderado"</formula>
    </cfRule>
    <cfRule type="cellIs" dxfId="832" priority="55" operator="equal">
      <formula>"Bajo"</formula>
    </cfRule>
  </conditionalFormatting>
  <conditionalFormatting sqref="N43">
    <cfRule type="cellIs" dxfId="831" priority="43" operator="equal">
      <formula>"Extremo"</formula>
    </cfRule>
    <cfRule type="cellIs" dxfId="830" priority="44" operator="equal">
      <formula>"Alto"</formula>
    </cfRule>
    <cfRule type="cellIs" dxfId="829" priority="45" operator="equal">
      <formula>"Moderado"</formula>
    </cfRule>
    <cfRule type="cellIs" dxfId="828" priority="46" operator="equal">
      <formula>"Bajo"</formula>
    </cfRule>
  </conditionalFormatting>
  <conditionalFormatting sqref="N49">
    <cfRule type="cellIs" dxfId="827" priority="34" operator="equal">
      <formula>"Extremo"</formula>
    </cfRule>
    <cfRule type="cellIs" dxfId="826" priority="35" operator="equal">
      <formula>"Alto"</formula>
    </cfRule>
    <cfRule type="cellIs" dxfId="825" priority="36" operator="equal">
      <formula>"Moderado"</formula>
    </cfRule>
    <cfRule type="cellIs" dxfId="824" priority="37" operator="equal">
      <formula>"Bajo"</formula>
    </cfRule>
  </conditionalFormatting>
  <conditionalFormatting sqref="N55">
    <cfRule type="cellIs" dxfId="823" priority="25" operator="equal">
      <formula>"Extremo"</formula>
    </cfRule>
    <cfRule type="cellIs" dxfId="822" priority="26" operator="equal">
      <formula>"Alto"</formula>
    </cfRule>
    <cfRule type="cellIs" dxfId="821" priority="27" operator="equal">
      <formula>"Moderado"</formula>
    </cfRule>
    <cfRule type="cellIs" dxfId="820" priority="28" operator="equal">
      <formula>"Bajo"</formula>
    </cfRule>
  </conditionalFormatting>
  <conditionalFormatting sqref="N61">
    <cfRule type="cellIs" dxfId="819" priority="16" operator="equal">
      <formula>"Extremo"</formula>
    </cfRule>
    <cfRule type="cellIs" dxfId="818" priority="17" operator="equal">
      <formula>"Alto"</formula>
    </cfRule>
    <cfRule type="cellIs" dxfId="817" priority="18" operator="equal">
      <formula>"Moderado"</formula>
    </cfRule>
    <cfRule type="cellIs" dxfId="816" priority="19"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C884D16B-E1B5-4623-9AC3-6E01B503E7E7}">
          <x14:formula1>
            <xm:f>'Opciones Tratamiento'!$B$9:$B$10</xm:f>
          </x14:formula1>
          <xm:sqref>AJ10:AJ11 AJ16:AJ17 AJ19:AJ20 AJ22:AJ23 AJ25:AJ26 AJ28:AJ29 AJ31:AJ32 AJ34:AJ35 AJ37:AJ38 AJ40:AJ41 AJ43:AJ44 AJ46:AJ47 AJ49:AJ50 AJ52:AJ53 AJ55:AJ56 AJ58:AJ59 AJ61:AJ62 AJ64:AJ65 AJ13:AJ14</xm:sqref>
        </x14:dataValidation>
        <x14:dataValidation type="custom" allowBlank="1" showInputMessage="1" showErrorMessage="1" error="Recuerde que las acciones se generan bajo la medida de mitigar el riesgo" xr:uid="{88D40CE8-3BA0-4099-93A9-2B5F0B937836}">
          <x14:formula1>
            <xm:f>IF(OR(AD10='Opciones Tratamiento'!$B$2,AD10='Opciones Tratamiento'!$B$3,AD10='Opciones Tratamiento'!$B$4),ISBLANK(AD10),ISTEXT(AD10))</xm:f>
          </x14:formula1>
          <xm:sqref>AI10:AI66</xm:sqref>
        </x14:dataValidation>
        <x14:dataValidation type="custom" allowBlank="1" showInputMessage="1" showErrorMessage="1" error="Recuerde que las acciones se generan bajo la medida de mitigar el riesgo" xr:uid="{46C33E3F-C947-44A0-8776-6C5F84C0541F}">
          <x14:formula1>
            <xm:f>IF(OR(AD10='Opciones Tratamiento'!$B$2,AD10='Opciones Tratamiento'!$B$3,AD10='Opciones Tratamiento'!$B$4),ISBLANK(AD10),ISTEXT(AD10))</xm:f>
          </x14:formula1>
          <xm:sqref>AH10:AH66</xm:sqref>
        </x14:dataValidation>
        <x14:dataValidation type="custom" allowBlank="1" showInputMessage="1" showErrorMessage="1" error="Recuerde que las acciones se generan bajo la medida de mitigar el riesgo" xr:uid="{D2323125-B2CD-4C6A-82B0-250751CC5539}">
          <x14:formula1>
            <xm:f>IF(OR(AD10='Opciones Tratamiento'!$B$2,AD10='Opciones Tratamiento'!$B$3,AD10='Opciones Tratamiento'!$B$4),ISBLANK(AD10),ISTEXT(AD10))</xm:f>
          </x14:formula1>
          <xm:sqref>AG10:AG66</xm:sqref>
        </x14:dataValidation>
        <x14:dataValidation type="custom" allowBlank="1" showInputMessage="1" showErrorMessage="1" error="Recuerde que las acciones se generan bajo la medida de mitigar el riesgo" xr:uid="{46C50541-4441-4CB3-8174-63DFCB20F4D5}">
          <x14:formula1>
            <xm:f>IF(OR(AD10='Opciones Tratamiento'!$B$2,AD10='Opciones Tratamiento'!$B$3,AD10='Opciones Tratamiento'!$B$4),ISBLANK(AD10),ISTEXT(AD10))</xm:f>
          </x14:formula1>
          <xm:sqref>AF10:AF66</xm:sqref>
        </x14:dataValidation>
        <x14:dataValidation type="custom" allowBlank="1" showInputMessage="1" showErrorMessage="1" error="Recuerde que las acciones se generan bajo la medida de mitigar el riesgo" xr:uid="{EBA270F5-3DF2-442D-8E99-560950D438DB}">
          <x14:formula1>
            <xm:f>IF(OR(AD10='Opciones Tratamiento'!$B$2,AD10='Opciones Tratamiento'!$B$3,AD10='Opciones Tratamiento'!$B$4),ISBLANK(AD10),ISTEXT(AD10))</xm:f>
          </x14:formula1>
          <xm:sqref>AE10:AE66</xm:sqref>
        </x14:dataValidation>
        <x14:dataValidation type="list" allowBlank="1" showInputMessage="1" showErrorMessage="1" xr:uid="{BE651461-6812-4824-B9C0-2A4793FCFADE}">
          <x14:formula1>
            <xm:f>'Tabla Impacto'!$F$210:$F$221</xm:f>
          </x14:formula1>
          <xm:sqref>J10:J66</xm:sqref>
        </x14:dataValidation>
        <x14:dataValidation type="list" allowBlank="1" showInputMessage="1" showErrorMessage="1" xr:uid="{C5D1792E-7E09-471C-A74D-1EACBDAAD6C2}">
          <x14:formula1>
            <xm:f>'Opciones Tratamiento'!$B$2:$B$5</xm:f>
          </x14:formula1>
          <xm:sqref>AD10:AD66</xm:sqref>
        </x14:dataValidation>
        <x14:dataValidation type="list" allowBlank="1" showInputMessage="1" showErrorMessage="1" xr:uid="{0BBF43DB-C0F4-407C-8A35-D3E1FB8162A3}">
          <x14:formula1>
            <xm:f>'Opciones Tratamiento'!$E$2:$E$4</xm:f>
          </x14:formula1>
          <xm:sqref>B10:B66</xm:sqref>
        </x14:dataValidation>
        <x14:dataValidation type="list" allowBlank="1" showInputMessage="1" showErrorMessage="1" xr:uid="{A59D1C9B-B56F-436F-8B79-3D5EC788EF90}">
          <x14:formula1>
            <xm:f>'Opciones Tratamiento'!$B$13:$B$19</xm:f>
          </x14:formula1>
          <xm:sqref>F10:F66</xm:sqref>
        </x14:dataValidation>
        <x14:dataValidation type="list" allowBlank="1" showInputMessage="1" showErrorMessage="1" xr:uid="{40DE8EF5-66F1-49A4-86FB-AF1C154B46B3}">
          <x14:formula1>
            <xm:f>'Tabla Valoración controles'!$D$13:$D$14</xm:f>
          </x14:formula1>
          <xm:sqref>W10:W66</xm:sqref>
        </x14:dataValidation>
        <x14:dataValidation type="list" allowBlank="1" showInputMessage="1" showErrorMessage="1" xr:uid="{18BE574E-F84D-4F3A-81BD-BE7A2D8BEFDD}">
          <x14:formula1>
            <xm:f>'Tabla Valoración controles'!$D$11:$D$12</xm:f>
          </x14:formula1>
          <xm:sqref>V10:V66</xm:sqref>
        </x14:dataValidation>
        <x14:dataValidation type="list" allowBlank="1" showInputMessage="1" showErrorMessage="1" xr:uid="{6E3A32BD-77D8-4AFE-9BF0-F8D2CB160AA8}">
          <x14:formula1>
            <xm:f>'Tabla Valoración controles'!$D$9:$D$10</xm:f>
          </x14:formula1>
          <xm:sqref>U10:U66</xm:sqref>
        </x14:dataValidation>
        <x14:dataValidation type="list" allowBlank="1" showInputMessage="1" showErrorMessage="1" xr:uid="{D2C2C1FB-23DF-4C29-9455-F51EB5E0C02A}">
          <x14:formula1>
            <xm:f>'Tabla Valoración controles'!$D$7:$D$8</xm:f>
          </x14:formula1>
          <xm:sqref>S10:S66</xm:sqref>
        </x14:dataValidation>
        <x14:dataValidation type="list" allowBlank="1" showInputMessage="1" showErrorMessage="1" xr:uid="{2C40415D-48CF-4C1C-BF97-65C5F60C0299}">
          <x14:formula1>
            <xm:f>'Tabla Valoración controles'!$D$4:$D$6</xm:f>
          </x14:formula1>
          <xm:sqref>R10:R66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D3EC1-8C30-4275-9BBE-A5544982C018}">
  <sheetPr>
    <tabColor rgb="FF7030A0"/>
  </sheetPr>
  <dimension ref="A1:BP71"/>
  <sheetViews>
    <sheetView topLeftCell="O6" zoomScale="53" zoomScaleNormal="53" workbookViewId="0">
      <selection activeCell="C15" sqref="C15:C2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342</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341</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343</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2">
        <v>1</v>
      </c>
      <c r="B10" s="191" t="s">
        <v>134</v>
      </c>
      <c r="C10" s="191" t="s">
        <v>269</v>
      </c>
      <c r="D10" s="191" t="s">
        <v>231</v>
      </c>
      <c r="E10" s="215" t="s">
        <v>270</v>
      </c>
      <c r="F10" s="191" t="s">
        <v>123</v>
      </c>
      <c r="G10" s="194">
        <v>24</v>
      </c>
      <c r="H10" s="203" t="str">
        <f>IF(G10&lt;=0,"",IF(G10&lt;=2,"Muy Baja",IF(G10&lt;=24,"Baja",IF(G10&lt;=500,"Media",IF(G10&lt;=5000,"Alta","Muy Alta")))))</f>
        <v>Baja</v>
      </c>
      <c r="I10" s="206">
        <f>IF(H10="","",IF(H10="Muy Baja",0.2,IF(H10="Baja",0.4,IF(H10="Media",0.6,IF(H10="Alta",0.8,IF(H10="Muy Alta",1,))))))</f>
        <v>0.4</v>
      </c>
      <c r="J10" s="209" t="s">
        <v>154</v>
      </c>
      <c r="K10" s="206"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03" t="str">
        <f ca="1">IF(OR(K10='Tabla Impacto'!$C$11,K10='Tabla Impacto'!$D$11),"Leve",IF(OR(K10='Tabla Impacto'!$C$12,K10='Tabla Impacto'!$D$12),"Menor",IF(OR(K10='Tabla Impacto'!$C$13,K10='Tabla Impacto'!$D$13),"Moderado",IF(OR(K10='Tabla Impacto'!$C$14,K10='Tabla Impacto'!$D$14),"Mayor",IF(OR(K10='Tabla Impacto'!$C$15,K10='Tabla Impacto'!$D$15),"Catastrófico","")))))</f>
        <v>Menor</v>
      </c>
      <c r="M10" s="206">
        <f ca="1">IF(L10="","",IF(L10="Leve",0.2,IF(L10="Menor",0.4,IF(L10="Moderado",0.6,IF(L10="Mayor",0.8,IF(L10="Catastrófico",1,))))))</f>
        <v>0.4</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395</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271</v>
      </c>
      <c r="AF10" s="133" t="s">
        <v>272</v>
      </c>
      <c r="AG10" s="135">
        <v>45291</v>
      </c>
      <c r="AH10" s="135">
        <v>45265</v>
      </c>
      <c r="AI10" s="133" t="s">
        <v>273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hidden="1" customHeight="1" x14ac:dyDescent="0.3">
      <c r="A11" s="213"/>
      <c r="B11" s="192"/>
      <c r="C11" s="192"/>
      <c r="D11" s="192"/>
      <c r="E11" s="216"/>
      <c r="F11" s="192"/>
      <c r="G11" s="195"/>
      <c r="H11" s="204"/>
      <c r="I11" s="207"/>
      <c r="J11" s="210"/>
      <c r="K11" s="207">
        <f ca="1">IF(NOT(ISERROR(MATCH(J11,_xlfn.ANCHORARRAY(E22),0))),I24&amp;"Por favor no seleccionar los criterios de impacto",J11)</f>
        <v>0</v>
      </c>
      <c r="L11" s="204"/>
      <c r="M11" s="207"/>
      <c r="N11" s="198"/>
      <c r="O11" s="123">
        <v>3</v>
      </c>
      <c r="P11" s="136"/>
      <c r="Q11" s="125" t="str">
        <f>IF(OR(R11="Preventivo",R11="Detectivo"),"Probabilidad",IF(R11="Correctivo","Impacto",""))</f>
        <v/>
      </c>
      <c r="R11" s="126"/>
      <c r="S11" s="126"/>
      <c r="T11" s="127" t="str">
        <f t="shared" ref="T11:T14" si="0">IF(AND(R11="Preventivo",S11="Automático"),"50%",IF(AND(R11="Preventivo",S11="Manual"),"40%",IF(AND(R11="Detectivo",S11="Automático"),"40%",IF(AND(R11="Detectivo",S11="Manual"),"30%",IF(AND(R11="Correctivo",S11="Automático"),"35%",IF(AND(R11="Correctivo",S11="Manual"),"25%",""))))))</f>
        <v/>
      </c>
      <c r="U11" s="126"/>
      <c r="V11" s="126"/>
      <c r="W11" s="126"/>
      <c r="X11" s="128" t="str">
        <f>IFERROR(IF(AND(#REF!="Probabilidad",Q11="Probabilidad"),(#REF!-(+#REF!*T11)),IF(AND(#REF!="Impacto",Q11="Probabilidad"),(Z10-(+Z10*T11)),IF(Q11="Impacto",#REF!,""))),"")</f>
        <v/>
      </c>
      <c r="Y11" s="129" t="str">
        <f t="shared" ref="Y11:Y68" si="1">IFERROR(IF(X11="","",IF(X11&lt;=0.2,"Muy Baja",IF(X11&lt;=0.4,"Baja",IF(X11&lt;=0.6,"Media",IF(X11&lt;=0.8,"Alta","Muy Alta"))))),"")</f>
        <v/>
      </c>
      <c r="Z11" s="130" t="str">
        <f t="shared" ref="Z11:Z14" si="2">+X11</f>
        <v/>
      </c>
      <c r="AA11" s="129" t="str">
        <f t="shared" ref="AA11:AA68" si="3">IFERROR(IF(AB11="","",IF(AB11&lt;=0.2,"Leve",IF(AB11&lt;=0.4,"Menor",IF(AB11&lt;=0.6,"Moderado",IF(AB11&lt;=0.8,"Mayor","Catastrófico"))))),"")</f>
        <v/>
      </c>
      <c r="AB11" s="130" t="str">
        <f>IFERROR(IF(AND(#REF!="Impacto",Q11="Impacto"),(#REF!-(+#REF!*T11)),IF(AND(#REF!="Probabilidad",Q11="Impacto"),(AB10-(+AB10*T11)),IF(Q11="Probabilidad",#REF!,""))),"")</f>
        <v/>
      </c>
      <c r="AC11" s="131" t="str">
        <f t="shared" ref="AC11:AC14"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4"/>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hidden="1" customHeight="1" x14ac:dyDescent="0.3">
      <c r="A12" s="213"/>
      <c r="B12" s="192"/>
      <c r="C12" s="192"/>
      <c r="D12" s="192"/>
      <c r="E12" s="216"/>
      <c r="F12" s="192"/>
      <c r="G12" s="195"/>
      <c r="H12" s="204"/>
      <c r="I12" s="207"/>
      <c r="J12" s="210"/>
      <c r="K12" s="207">
        <f ca="1">IF(NOT(ISERROR(MATCH(J12,_xlfn.ANCHORARRAY(E23),0))),I25&amp;"Por favor no seleccionar los criterios de impacto",J12)</f>
        <v>0</v>
      </c>
      <c r="L12" s="204"/>
      <c r="M12" s="207"/>
      <c r="N12" s="198"/>
      <c r="O12" s="123">
        <v>4</v>
      </c>
      <c r="P12" s="124"/>
      <c r="Q12" s="125" t="str">
        <f t="shared" ref="Q12:Q14" si="5">IF(OR(R12="Preventivo",R12="Detectivo"),"Probabilidad",IF(R12="Correctivo","Impacto",""))</f>
        <v/>
      </c>
      <c r="R12" s="126"/>
      <c r="S12" s="126"/>
      <c r="T12" s="127" t="str">
        <f t="shared" si="0"/>
        <v/>
      </c>
      <c r="U12" s="126"/>
      <c r="V12" s="126"/>
      <c r="W12" s="126"/>
      <c r="X12" s="128" t="str">
        <f>IFERROR(IF(AND(Q11="Probabilidad",Q12="Probabilidad"),(Z11-(+Z11*T12)),IF(AND(Q11="Impacto",Q12="Probabilidad"),(#REF!-(+#REF!*T12)),IF(Q12="Impacto",Z11,""))),"")</f>
        <v/>
      </c>
      <c r="Y12" s="129" t="str">
        <f t="shared" si="1"/>
        <v/>
      </c>
      <c r="Z12" s="130" t="str">
        <f t="shared" si="2"/>
        <v/>
      </c>
      <c r="AA12" s="129" t="str">
        <f t="shared" si="3"/>
        <v/>
      </c>
      <c r="AB12" s="130" t="str">
        <f>IFERROR(IF(AND(Q11="Impacto",Q12="Impacto"),(AB11-(+AB11*T12)),IF(AND(Q11="Probabilidad",Q12="Impacto"),(#REF!-(+#REF!*T12)),IF(Q12="Probabilidad",AB11,""))),"")</f>
        <v/>
      </c>
      <c r="AC12" s="131" t="str">
        <f>IFERROR(IF(OR(AND(Y12="Muy Baja",AA12="Leve"),AND(Y12="Muy Baja",AA12="Menor"),AND(Y12="Baja",AA12="Leve")),"Bajo",IF(OR(AND(Y12="Muy baja",AA12="Moderado"),AND(Y12="Baja",AA12="Menor"),AND(Y12="Baja",AA12="Moderado"),AND(Y12="Media",AA12="Leve"),AND(Y12="Media",AA12="Menor"),AND(Y12="Media",AA12="Moderado"),AND(Y12="Alta",AA12="Leve"),AND(Y12="Alta",AA12="Menor")),"Moderado",IF(OR(AND(Y12="Muy Baja",AA12="Mayor"),AND(Y12="Baja",AA12="Mayor"),AND(Y12="Media",AA12="Mayor"),AND(Y12="Alta",AA12="Moderado"),AND(Y12="Alta",AA12="Mayor"),AND(Y12="Muy Alta",AA12="Leve"),AND(Y12="Muy Alta",AA12="Menor"),AND(Y12="Muy Alta",AA12="Moderado"),AND(Y12="Muy Alta",AA12="Mayor")),"Alto",IF(OR(AND(Y12="Muy Baja",AA12="Catastrófico"),AND(Y12="Baja",AA12="Catastrófico"),AND(Y12="Media",AA12="Catastrófico"),AND(Y12="Alta",AA12="Catastrófico"),AND(Y12="Muy Alta",AA12="Catastrófico")),"Extremo","")))),"")</f>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34.5" hidden="1" customHeight="1" x14ac:dyDescent="0.3">
      <c r="A13" s="213"/>
      <c r="B13" s="192"/>
      <c r="C13" s="192"/>
      <c r="D13" s="192"/>
      <c r="E13" s="216"/>
      <c r="F13" s="192"/>
      <c r="G13" s="195"/>
      <c r="H13" s="204"/>
      <c r="I13" s="207"/>
      <c r="J13" s="210"/>
      <c r="K13" s="207">
        <f ca="1">IF(NOT(ISERROR(MATCH(J13,_xlfn.ANCHORARRAY(E24),0))),I26&amp;"Por favor no seleccionar los criterios de impacto",J13)</f>
        <v>0</v>
      </c>
      <c r="L13" s="204"/>
      <c r="M13" s="207"/>
      <c r="N13" s="198"/>
      <c r="O13" s="123">
        <v>5</v>
      </c>
      <c r="P13" s="124"/>
      <c r="Q13" s="125" t="str">
        <f t="shared" si="5"/>
        <v/>
      </c>
      <c r="R13" s="126"/>
      <c r="S13" s="126"/>
      <c r="T13" s="127" t="str">
        <f t="shared" si="0"/>
        <v/>
      </c>
      <c r="U13" s="126"/>
      <c r="V13" s="126"/>
      <c r="W13" s="126"/>
      <c r="X13" s="128" t="str">
        <f t="shared" ref="X13:X14" si="6">IFERROR(IF(AND(Q12="Probabilidad",Q13="Probabilidad"),(Z12-(+Z12*T13)),IF(AND(Q12="Impacto",Q13="Probabilidad"),(Z11-(+Z11*T13)),IF(Q13="Impacto",Z12,""))),"")</f>
        <v/>
      </c>
      <c r="Y13" s="129" t="str">
        <f t="shared" si="1"/>
        <v/>
      </c>
      <c r="Z13" s="130" t="str">
        <f t="shared" si="2"/>
        <v/>
      </c>
      <c r="AA13" s="129" t="str">
        <f t="shared" si="3"/>
        <v/>
      </c>
      <c r="AB13" s="130" t="str">
        <f t="shared" ref="AB13:AB14" si="7">IFERROR(IF(AND(Q12="Impacto",Q13="Impacto"),(AB12-(+AB12*T13)),IF(AND(Q12="Probabilidad",Q13="Impacto"),(AB11-(+AB11*T13)),IF(Q13="Probabilidad",AB12,""))),"")</f>
        <v/>
      </c>
      <c r="AC13" s="131" t="str">
        <f t="shared" si="4"/>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hidden="1" customHeight="1" x14ac:dyDescent="0.3">
      <c r="A14" s="214"/>
      <c r="B14" s="193"/>
      <c r="C14" s="193"/>
      <c r="D14" s="193"/>
      <c r="E14" s="217"/>
      <c r="F14" s="193"/>
      <c r="G14" s="196"/>
      <c r="H14" s="205"/>
      <c r="I14" s="208"/>
      <c r="J14" s="211"/>
      <c r="K14" s="208">
        <f ca="1">IF(NOT(ISERROR(MATCH(J14,_xlfn.ANCHORARRAY(E25),0))),I27&amp;"Por favor no seleccionar los criterios de impacto",J14)</f>
        <v>0</v>
      </c>
      <c r="L14" s="205"/>
      <c r="M14" s="208"/>
      <c r="N14" s="199"/>
      <c r="O14" s="123">
        <v>6</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2">
        <v>2</v>
      </c>
      <c r="B15" s="191" t="s">
        <v>132</v>
      </c>
      <c r="C15" s="191" t="s">
        <v>396</v>
      </c>
      <c r="D15" s="191" t="s">
        <v>397</v>
      </c>
      <c r="E15" s="215" t="s">
        <v>402</v>
      </c>
      <c r="F15" s="191" t="s">
        <v>123</v>
      </c>
      <c r="G15" s="194">
        <v>23</v>
      </c>
      <c r="H15" s="203" t="str">
        <f>IF(G15&lt;=0,"",IF(G15&lt;=2,"Muy Baja",IF(G15&lt;=24,"Baja",IF(G15&lt;=500,"Media",IF(G15&lt;=5000,"Alta","Muy Alta")))))</f>
        <v>Baja</v>
      </c>
      <c r="I15" s="206">
        <f>IF(H15="","",IF(H15="Muy Baja",0.2,IF(H15="Baja",0.4,IF(H15="Media",0.6,IF(H15="Alta",0.8,IF(H15="Muy Alta",1,))))))</f>
        <v>0.4</v>
      </c>
      <c r="J15" s="209" t="s">
        <v>154</v>
      </c>
      <c r="K15" s="206" t="str">
        <f ca="1">IF(NOT(ISERROR(MATCH(J15,'Tabla Impacto'!$B$221:$B$223,0))),'Tabla Impacto'!$F$223&amp;"Por favor no seleccionar los criterios de impacto(Afectación Económica o presupuestal y Pérdida Reputacional)",J15)</f>
        <v xml:space="preserve">     El riesgo afecta la imagen de la entidad internamente, de conocimiento general, nivel interno, de junta dircetiva y accionistas y/o de provedores</v>
      </c>
      <c r="L15" s="203" t="str">
        <f ca="1">IF(OR(K15='Tabla Impacto'!$C$11,K15='Tabla Impacto'!$D$11),"Leve",IF(OR(K15='Tabla Impacto'!$C$12,K15='Tabla Impacto'!$D$12),"Menor",IF(OR(K15='Tabla Impacto'!$C$13,K15='Tabla Impacto'!$D$13),"Moderado",IF(OR(K15='Tabla Impacto'!$C$14,K15='Tabla Impacto'!$D$14),"Mayor",IF(OR(K15='Tabla Impacto'!$C$15,K15='Tabla Impacto'!$D$15),"Catastrófico","")))))</f>
        <v>Menor</v>
      </c>
      <c r="M15" s="206">
        <f ca="1">IF(L15="","",IF(L15="Leve",0.2,IF(L15="Menor",0.4,IF(L15="Moderado",0.6,IF(L15="Mayor",0.8,IF(L15="Catastrófico",1,))))))</f>
        <v>0.4</v>
      </c>
      <c r="N15" s="197" t="str">
        <f ca="1">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Moderado</v>
      </c>
      <c r="O15" s="123">
        <v>1</v>
      </c>
      <c r="P15" s="124" t="s">
        <v>398</v>
      </c>
      <c r="Q15" s="125" t="str">
        <f>IF(OR(R15="Preventivo",R15="Detectivo"),"Probabilidad",IF(R15="Correctivo","Impacto",""))</f>
        <v>Probabilidad</v>
      </c>
      <c r="R15" s="126" t="s">
        <v>14</v>
      </c>
      <c r="S15" s="126" t="s">
        <v>9</v>
      </c>
      <c r="T15" s="127" t="str">
        <f>IF(AND(R15="Preventivo",S15="Automático"),"50%",IF(AND(R15="Preventivo",S15="Manual"),"40%",IF(AND(R15="Detectivo",S15="Automático"),"40%",IF(AND(R15="Detectivo",S15="Manual"),"30%",IF(AND(R15="Correctivo",S15="Automático"),"35%",IF(AND(R15="Correctivo",S15="Manual"),"25%",""))))))</f>
        <v>40%</v>
      </c>
      <c r="U15" s="126" t="s">
        <v>19</v>
      </c>
      <c r="V15" s="126" t="s">
        <v>22</v>
      </c>
      <c r="W15" s="126" t="s">
        <v>119</v>
      </c>
      <c r="X15" s="128">
        <f>IFERROR(IF(Q15="Probabilidad",(I15-(+I15*T15)),IF(Q15="Impacto",I15,"")),"")</f>
        <v>0.24</v>
      </c>
      <c r="Y15" s="129" t="str">
        <f>IFERROR(IF(X15="","",IF(X15&lt;=0.2,"Muy Baja",IF(X15&lt;=0.4,"Baja",IF(X15&lt;=0.6,"Media",IF(X15&lt;=0.8,"Alta","Muy Alta"))))),"")</f>
        <v>Baja</v>
      </c>
      <c r="Z15" s="130">
        <f>+X15</f>
        <v>0.24</v>
      </c>
      <c r="AA15" s="129" t="str">
        <f ca="1">IFERROR(IF(AB15="","",IF(AB15&lt;=0.2,"Leve",IF(AB15&lt;=0.4,"Menor",IF(AB15&lt;=0.6,"Moderado",IF(AB15&lt;=0.8,"Mayor","Catastrófico"))))),"")</f>
        <v>Menor</v>
      </c>
      <c r="AB15" s="130">
        <f ca="1">IFERROR(IF(Q15="Impacto",(M15-(+M15*T15)),IF(Q15="Probabilidad",M15,"")),"")</f>
        <v>0.4</v>
      </c>
      <c r="AC15" s="131" t="str">
        <f ca="1">IFERROR(IF(OR(AND(Y15="Muy Baja",AA15="Leve"),AND(Y15="Muy Baja",AA15="Menor"),AND(Y15="Baja",AA15="Leve")),"Bajo",IF(OR(AND(Y15="Muy baja",AA15="Moderado"),AND(Y15="Baja",AA15="Menor"),AND(Y15="Baja",AA15="Moderado"),AND(Y15="Media",AA15="Leve"),AND(Y15="Media",AA15="Menor"),AND(Y15="Media",AA15="Moderado"),AND(Y15="Alta",AA15="Leve"),AND(Y15="Alta",AA15="Menor")),"Moderado",IF(OR(AND(Y15="Muy Baja",AA15="Mayor"),AND(Y15="Baja",AA15="Mayor"),AND(Y15="Media",AA15="Mayor"),AND(Y15="Alta",AA15="Moderado"),AND(Y15="Alta",AA15="Mayor"),AND(Y15="Muy Alta",AA15="Leve"),AND(Y15="Muy Alta",AA15="Menor"),AND(Y15="Muy Alta",AA15="Moderado"),AND(Y15="Muy Alta",AA15="Mayor")),"Alto",IF(OR(AND(Y15="Muy Baja",AA15="Catastrófico"),AND(Y15="Baja",AA15="Catastrófico"),AND(Y15="Media",AA15="Catastrófico"),AND(Y15="Alta",AA15="Catastrófico"),AND(Y15="Muy Alta",AA15="Catastrófico")),"Extremo","")))),"")</f>
        <v>Moderado</v>
      </c>
      <c r="AD15" s="132" t="s">
        <v>136</v>
      </c>
      <c r="AE15" s="133" t="s">
        <v>399</v>
      </c>
      <c r="AF15" s="133" t="s">
        <v>400</v>
      </c>
      <c r="AG15" s="135">
        <v>45291</v>
      </c>
      <c r="AH15" s="135">
        <v>45265</v>
      </c>
      <c r="AI15" s="133" t="s">
        <v>401</v>
      </c>
      <c r="AJ15" s="134" t="s">
        <v>41</v>
      </c>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3"/>
      <c r="B16" s="192"/>
      <c r="C16" s="192"/>
      <c r="D16" s="192"/>
      <c r="E16" s="216"/>
      <c r="F16" s="192"/>
      <c r="G16" s="195"/>
      <c r="H16" s="204"/>
      <c r="I16" s="207"/>
      <c r="J16" s="210"/>
      <c r="K16" s="207">
        <f ca="1">IF(NOT(ISERROR(MATCH(J16,_xlfn.ANCHORARRAY(E27),0))),I29&amp;"Por favor no seleccionar los criterios de impacto",J16)</f>
        <v>0</v>
      </c>
      <c r="L16" s="204"/>
      <c r="M16" s="207"/>
      <c r="N16" s="198"/>
      <c r="O16" s="123">
        <v>2</v>
      </c>
      <c r="P16" s="124"/>
      <c r="Q16" s="125" t="str">
        <f>IF(OR(R16="Preventivo",R16="Detectivo"),"Probabilidad",IF(R16="Correctivo","Impacto",""))</f>
        <v/>
      </c>
      <c r="R16" s="126"/>
      <c r="S16" s="126"/>
      <c r="T16" s="127" t="str">
        <f t="shared" ref="T16:T20" si="8">IF(AND(R16="Preventivo",S16="Automático"),"50%",IF(AND(R16="Preventivo",S16="Manual"),"40%",IF(AND(R16="Detectivo",S16="Automático"),"40%",IF(AND(R16="Detectivo",S16="Manual"),"30%",IF(AND(R16="Correctivo",S16="Automático"),"35%",IF(AND(R16="Correctivo",S16="Manual"),"25%",""))))))</f>
        <v/>
      </c>
      <c r="U16" s="126"/>
      <c r="V16" s="126"/>
      <c r="W16" s="126"/>
      <c r="X16" s="128" t="str">
        <f>IFERROR(IF(AND(Q15="Probabilidad",Q16="Probabilidad"),(Z15-(+Z15*T16)),IF(Q16="Probabilidad",(I15-(+I15*T16)),IF(Q16="Impacto",Z15,""))),"")</f>
        <v/>
      </c>
      <c r="Y16" s="129" t="str">
        <f t="shared" si="1"/>
        <v/>
      </c>
      <c r="Z16" s="130" t="str">
        <f t="shared" ref="Z16:Z20" si="9">+X16</f>
        <v/>
      </c>
      <c r="AA16" s="129" t="str">
        <f t="shared" si="3"/>
        <v/>
      </c>
      <c r="AB16" s="130" t="str">
        <f>IFERROR(IF(AND(Q15="Impacto",Q16="Impacto"),(AB10-(+AB10*T16)),IF(Q16="Impacto",($M$15-(+$M$15*T16)),IF(Q16="Probabilidad",AB10,""))),"")</f>
        <v/>
      </c>
      <c r="AC16" s="131" t="str">
        <f t="shared" ref="AC16:AC17" si="10">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3"/>
      <c r="B17" s="192"/>
      <c r="C17" s="192"/>
      <c r="D17" s="192"/>
      <c r="E17" s="216"/>
      <c r="F17" s="192"/>
      <c r="G17" s="195"/>
      <c r="H17" s="204"/>
      <c r="I17" s="207"/>
      <c r="J17" s="210"/>
      <c r="K17" s="207">
        <f ca="1">IF(NOT(ISERROR(MATCH(J17,_xlfn.ANCHORARRAY(E28),0))),I30&amp;"Por favor no seleccionar los criterios de impacto",J17)</f>
        <v>0</v>
      </c>
      <c r="L17" s="204"/>
      <c r="M17" s="207"/>
      <c r="N17" s="198"/>
      <c r="O17" s="123">
        <v>3</v>
      </c>
      <c r="P17" s="124"/>
      <c r="Q17" s="125" t="str">
        <f>IF(OR(R17="Preventivo",R17="Detectivo"),"Probabilidad",IF(R17="Correctivo","Impacto",""))</f>
        <v/>
      </c>
      <c r="R17" s="126"/>
      <c r="S17" s="126"/>
      <c r="T17" s="127" t="str">
        <f t="shared" si="8"/>
        <v/>
      </c>
      <c r="U17" s="126"/>
      <c r="V17" s="126"/>
      <c r="W17" s="126"/>
      <c r="X17" s="128" t="str">
        <f>IFERROR(IF(AND(Q16="Probabilidad",Q17="Probabilidad"),(Z16-(+Z16*T17)),IF(AND(Q16="Impacto",Q17="Probabilidad"),(Z15-(+Z15*T17)),IF(Q17="Impacto",Z16,""))),"")</f>
        <v/>
      </c>
      <c r="Y17" s="129" t="str">
        <f t="shared" si="1"/>
        <v/>
      </c>
      <c r="Z17" s="130" t="str">
        <f t="shared" si="9"/>
        <v/>
      </c>
      <c r="AA17" s="129" t="str">
        <f t="shared" si="3"/>
        <v/>
      </c>
      <c r="AB17" s="130" t="str">
        <f>IFERROR(IF(AND(Q16="Impacto",Q17="Impacto"),(AB16-(+AB16*T17)),IF(AND(Q16="Probabilidad",Q17="Impacto"),(AB15-(+AB15*T17)),IF(Q17="Probabilidad",AB16,""))),"")</f>
        <v/>
      </c>
      <c r="AC17" s="131" t="str">
        <f t="shared" si="10"/>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3"/>
      <c r="B18" s="192"/>
      <c r="C18" s="192"/>
      <c r="D18" s="192"/>
      <c r="E18" s="216"/>
      <c r="F18" s="192"/>
      <c r="G18" s="195"/>
      <c r="H18" s="204"/>
      <c r="I18" s="207"/>
      <c r="J18" s="210"/>
      <c r="K18" s="207">
        <f ca="1">IF(NOT(ISERROR(MATCH(J18,_xlfn.ANCHORARRAY(E29),0))),I31&amp;"Por favor no seleccionar los criterios de impacto",J18)</f>
        <v>0</v>
      </c>
      <c r="L18" s="204"/>
      <c r="M18" s="207"/>
      <c r="N18" s="198"/>
      <c r="O18" s="123">
        <v>4</v>
      </c>
      <c r="P18" s="136"/>
      <c r="Q18" s="125" t="str">
        <f t="shared" ref="Q18:Q20" si="11">IF(OR(R18="Preventivo",R18="Detectivo"),"Probabilidad",IF(R18="Correctivo","Impacto",""))</f>
        <v/>
      </c>
      <c r="R18" s="126"/>
      <c r="S18" s="126"/>
      <c r="T18" s="127" t="str">
        <f t="shared" si="8"/>
        <v/>
      </c>
      <c r="U18" s="126"/>
      <c r="V18" s="126"/>
      <c r="W18" s="126"/>
      <c r="X18" s="128" t="str">
        <f t="shared" ref="X18:X20" si="12">IFERROR(IF(AND(Q17="Probabilidad",Q18="Probabilidad"),(Z17-(+Z17*T18)),IF(AND(Q17="Impacto",Q18="Probabilidad"),(Z16-(+Z16*T18)),IF(Q18="Impacto",Z17,""))),"")</f>
        <v/>
      </c>
      <c r="Y18" s="129" t="str">
        <f t="shared" si="1"/>
        <v/>
      </c>
      <c r="Z18" s="130" t="str">
        <f t="shared" si="9"/>
        <v/>
      </c>
      <c r="AA18" s="129" t="str">
        <f t="shared" si="3"/>
        <v/>
      </c>
      <c r="AB18" s="130" t="str">
        <f t="shared" ref="AB18:AB20" si="13">IFERROR(IF(AND(Q17="Impacto",Q18="Impacto"),(AB17-(+AB17*T18)),IF(AND(Q17="Probabilidad",Q18="Impacto"),(AB16-(+AB16*T18)),IF(Q18="Probabilidad",AB17,""))),"")</f>
        <v/>
      </c>
      <c r="AC18" s="131" t="str">
        <f>IFERROR(IF(OR(AND(Y18="Muy Baja",AA18="Leve"),AND(Y18="Muy Baja",AA18="Menor"),AND(Y18="Baja",AA18="Leve")),"Bajo",IF(OR(AND(Y18="Muy baja",AA18="Moderado"),AND(Y18="Baja",AA18="Menor"),AND(Y18="Baja",AA18="Moderado"),AND(Y18="Media",AA18="Leve"),AND(Y18="Media",AA18="Menor"),AND(Y18="Media",AA18="Moderado"),AND(Y18="Alta",AA18="Leve"),AND(Y18="Alta",AA18="Menor")),"Moderado",IF(OR(AND(Y18="Muy Baja",AA18="Mayor"),AND(Y18="Baja",AA18="Mayor"),AND(Y18="Media",AA18="Mayor"),AND(Y18="Alta",AA18="Moderado"),AND(Y18="Alta",AA18="Mayor"),AND(Y18="Muy Alta",AA18="Leve"),AND(Y18="Muy Alta",AA18="Menor"),AND(Y18="Muy Alta",AA18="Moderado"),AND(Y18="Muy Alta",AA18="Mayor")),"Alto",IF(OR(AND(Y18="Muy Baja",AA18="Catastrófico"),AND(Y18="Baja",AA18="Catastrófico"),AND(Y18="Media",AA18="Catastrófico"),AND(Y18="Alta",AA18="Catastrófico"),AND(Y18="Muy Alta",AA18="Catastrófico")),"Extremo","")))),"")</f>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192"/>
      <c r="E19" s="216"/>
      <c r="F19" s="192"/>
      <c r="G19" s="195"/>
      <c r="H19" s="204"/>
      <c r="I19" s="207"/>
      <c r="J19" s="210"/>
      <c r="K19" s="207">
        <f ca="1">IF(NOT(ISERROR(MATCH(J19,_xlfn.ANCHORARRAY(E30),0))),I32&amp;"Por favor no seleccionar los criterios de impacto",J19)</f>
        <v>0</v>
      </c>
      <c r="L19" s="204"/>
      <c r="M19" s="207"/>
      <c r="N19" s="198"/>
      <c r="O19" s="123">
        <v>5</v>
      </c>
      <c r="P19" s="124"/>
      <c r="Q19" s="125" t="str">
        <f t="shared" si="11"/>
        <v/>
      </c>
      <c r="R19" s="126"/>
      <c r="S19" s="126"/>
      <c r="T19" s="127" t="str">
        <f t="shared" si="8"/>
        <v/>
      </c>
      <c r="U19" s="126"/>
      <c r="V19" s="126"/>
      <c r="W19" s="126"/>
      <c r="X19" s="128" t="str">
        <f t="shared" si="12"/>
        <v/>
      </c>
      <c r="Y19" s="129" t="str">
        <f t="shared" si="1"/>
        <v/>
      </c>
      <c r="Z19" s="130" t="str">
        <f t="shared" si="9"/>
        <v/>
      </c>
      <c r="AA19" s="129" t="str">
        <f t="shared" si="3"/>
        <v/>
      </c>
      <c r="AB19" s="130" t="str">
        <f t="shared" si="13"/>
        <v/>
      </c>
      <c r="AC19" s="131" t="str">
        <f t="shared" ref="AC19:AC20" si="14">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4"/>
      <c r="B20" s="193"/>
      <c r="C20" s="193"/>
      <c r="D20" s="193"/>
      <c r="E20" s="217"/>
      <c r="F20" s="193"/>
      <c r="G20" s="196"/>
      <c r="H20" s="205"/>
      <c r="I20" s="208"/>
      <c r="J20" s="211"/>
      <c r="K20" s="208">
        <f ca="1">IF(NOT(ISERROR(MATCH(J20,_xlfn.ANCHORARRAY(E31),0))),I33&amp;"Por favor no seleccionar los criterios de impacto",J20)</f>
        <v>0</v>
      </c>
      <c r="L20" s="205"/>
      <c r="M20" s="208"/>
      <c r="N20" s="199"/>
      <c r="O20" s="123">
        <v>6</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si="14"/>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2">
        <v>3</v>
      </c>
      <c r="B21" s="191"/>
      <c r="C21" s="191"/>
      <c r="D21" s="191"/>
      <c r="E21" s="215"/>
      <c r="F21" s="191"/>
      <c r="G21" s="194"/>
      <c r="H21" s="203" t="str">
        <f>IF(G21&lt;=0,"",IF(G21&lt;=2,"Muy Baja",IF(G21&lt;=24,"Baja",IF(G21&lt;=500,"Media",IF(G21&lt;=5000,"Alta","Muy Alta")))))</f>
        <v/>
      </c>
      <c r="I21" s="206" t="str">
        <f>IF(H21="","",IF(H21="Muy Baja",0.2,IF(H21="Baja",0.4,IF(H21="Media",0.6,IF(H21="Alta",0.8,IF(H21="Muy Alta",1,))))))</f>
        <v/>
      </c>
      <c r="J21" s="209"/>
      <c r="K21" s="206">
        <f ca="1">IF(NOT(ISERROR(MATCH(J21,'Tabla Impacto'!$B$221:$B$223,0))),'Tabla Impacto'!$F$223&amp;"Por favor no seleccionar los criterios de impacto(Afectación Económica o presupuestal y Pérdida Reputacional)",J21)</f>
        <v>0</v>
      </c>
      <c r="L21" s="203" t="str">
        <f ca="1">IF(OR(K21='Tabla Impacto'!$C$11,K21='Tabla Impacto'!$D$11),"Leve",IF(OR(K21='Tabla Impacto'!$C$12,K21='Tabla Impacto'!$D$12),"Menor",IF(OR(K21='Tabla Impacto'!$C$13,K21='Tabla Impacto'!$D$13),"Moderado",IF(OR(K21='Tabla Impacto'!$C$14,K21='Tabla Impacto'!$D$14),"Mayor",IF(OR(K21='Tabla Impacto'!$C$15,K21='Tabla Impacto'!$D$15),"Catastrófico","")))))</f>
        <v/>
      </c>
      <c r="M21" s="206" t="str">
        <f ca="1">IF(L21="","",IF(L21="Leve",0.2,IF(L21="Menor",0.4,IF(L21="Moderado",0.6,IF(L21="Mayor",0.8,IF(L21="Catastrófico",1,))))))</f>
        <v/>
      </c>
      <c r="N21" s="197" t="str">
        <f ca="1">IF(OR(AND(H21="Muy Baja",L21="Leve"),AND(H21="Muy Baja",L21="Menor"),AND(H21="Baja",L21="Leve")),"Bajo",IF(OR(AND(H21="Muy baja",L21="Moderado"),AND(H21="Baja",L21="Menor"),AND(H21="Baja",L21="Moderado"),AND(H21="Media",L21="Leve"),AND(H21="Media",L21="Menor"),AND(H21="Media",L21="Moderado"),AND(H21="Alta",L21="Leve"),AND(H21="Alta",L21="Menor")),"Moderado",IF(OR(AND(H21="Muy Baja",L21="Mayor"),AND(H21="Baja",L21="Mayor"),AND(H21="Media",L21="Mayor"),AND(H21="Alta",L21="Moderado"),AND(H21="Alta",L21="Mayor"),AND(H21="Muy Alta",L21="Leve"),AND(H21="Muy Alta",L21="Menor"),AND(H21="Muy Alta",L21="Moderado"),AND(H21="Muy Alta",L21="Mayor")),"Alto",IF(OR(AND(H21="Muy Baja",L21="Catastrófico"),AND(H21="Baja",L21="Catastrófico"),AND(H21="Media",L21="Catastrófico"),AND(H21="Alta",L21="Catastrófico"),AND(H21="Muy Alta",L21="Catastrófico")),"Extremo",""))))</f>
        <v/>
      </c>
      <c r="O21" s="123">
        <v>1</v>
      </c>
      <c r="P21" s="124"/>
      <c r="Q21" s="125" t="str">
        <f>IF(OR(R21="Preventivo",R21="Detectivo"),"Probabilidad",IF(R21="Correctivo","Impacto",""))</f>
        <v/>
      </c>
      <c r="R21" s="126"/>
      <c r="S21" s="126"/>
      <c r="T21" s="127" t="str">
        <f>IF(AND(R21="Preventivo",S21="Automático"),"50%",IF(AND(R21="Preventivo",S21="Manual"),"40%",IF(AND(R21="Detectivo",S21="Automático"),"40%",IF(AND(R21="Detectivo",S21="Manual"),"30%",IF(AND(R21="Correctivo",S21="Automático"),"35%",IF(AND(R21="Correctivo",S21="Manual"),"25%",""))))))</f>
        <v/>
      </c>
      <c r="U21" s="126"/>
      <c r="V21" s="126"/>
      <c r="W21" s="126"/>
      <c r="X21" s="128" t="str">
        <f>IFERROR(IF(Q21="Probabilidad",(I21-(+I21*T21)),IF(Q21="Impacto",I21,"")),"")</f>
        <v/>
      </c>
      <c r="Y21" s="129" t="str">
        <f>IFERROR(IF(X21="","",IF(X21&lt;=0.2,"Muy Baja",IF(X21&lt;=0.4,"Baja",IF(X21&lt;=0.6,"Media",IF(X21&lt;=0.8,"Alta","Muy Alta"))))),"")</f>
        <v/>
      </c>
      <c r="Z21" s="130" t="str">
        <f>+X21</f>
        <v/>
      </c>
      <c r="AA21" s="129" t="str">
        <f>IFERROR(IF(AB21="","",IF(AB21&lt;=0.2,"Leve",IF(AB21&lt;=0.4,"Menor",IF(AB21&lt;=0.6,"Moderado",IF(AB21&lt;=0.8,"Mayor","Catastrófico"))))),"")</f>
        <v/>
      </c>
      <c r="AB21" s="130" t="str">
        <f>IFERROR(IF(Q21="Impacto",(M21-(+M21*T21)),IF(Q21="Probabilidad",M21,"")),"")</f>
        <v/>
      </c>
      <c r="AC21" s="131"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3"/>
      <c r="B22" s="192"/>
      <c r="C22" s="192"/>
      <c r="D22" s="192"/>
      <c r="E22" s="216"/>
      <c r="F22" s="192"/>
      <c r="G22" s="195"/>
      <c r="H22" s="204"/>
      <c r="I22" s="207"/>
      <c r="J22" s="210"/>
      <c r="K22" s="207">
        <f t="shared" ref="K22:K26" ca="1" si="15">IF(NOT(ISERROR(MATCH(J22,_xlfn.ANCHORARRAY(E33),0))),I35&amp;"Por favor no seleccionar los criterios de impacto",J22)</f>
        <v>0</v>
      </c>
      <c r="L22" s="204"/>
      <c r="M22" s="207"/>
      <c r="N22" s="198"/>
      <c r="O22" s="123">
        <v>2</v>
      </c>
      <c r="P22" s="124"/>
      <c r="Q22" s="125" t="str">
        <f>IF(OR(R22="Preventivo",R22="Detectivo"),"Probabilidad",IF(R22="Correctivo","Impacto",""))</f>
        <v/>
      </c>
      <c r="R22" s="126"/>
      <c r="S22" s="126"/>
      <c r="T22" s="127" t="str">
        <f t="shared" ref="T22:T26" si="16">IF(AND(R22="Preventivo",S22="Automático"),"50%",IF(AND(R22="Preventivo",S22="Manual"),"40%",IF(AND(R22="Detectivo",S22="Automático"),"40%",IF(AND(R22="Detectivo",S22="Manual"),"30%",IF(AND(R22="Correctivo",S22="Automático"),"35%",IF(AND(R22="Correctivo",S22="Manual"),"25%",""))))))</f>
        <v/>
      </c>
      <c r="U22" s="126"/>
      <c r="V22" s="126"/>
      <c r="W22" s="126"/>
      <c r="X22" s="137" t="str">
        <f>IFERROR(IF(AND(Q21="Probabilidad",Q22="Probabilidad"),(Z21-(+Z21*T22)),IF(Q22="Probabilidad",(I21-(+I21*T22)),IF(Q22="Impacto",Z21,""))),"")</f>
        <v/>
      </c>
      <c r="Y22" s="129" t="str">
        <f t="shared" si="1"/>
        <v/>
      </c>
      <c r="Z22" s="130" t="str">
        <f t="shared" ref="Z22:Z26" si="17">+X22</f>
        <v/>
      </c>
      <c r="AA22" s="129" t="str">
        <f t="shared" si="3"/>
        <v/>
      </c>
      <c r="AB22" s="130" t="str">
        <f>IFERROR(IF(AND(Q21="Impacto",Q22="Impacto"),(AB15-(+AB15*T22)),IF(Q22="Impacto",($M$21-(+$M$21*T22)),IF(Q22="Probabilidad",AB15,""))),"")</f>
        <v/>
      </c>
      <c r="AC22" s="131" t="str">
        <f t="shared" ref="AC22:AC23" si="18">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3"/>
      <c r="B23" s="192"/>
      <c r="C23" s="192"/>
      <c r="D23" s="192"/>
      <c r="E23" s="216"/>
      <c r="F23" s="192"/>
      <c r="G23" s="195"/>
      <c r="H23" s="204"/>
      <c r="I23" s="207"/>
      <c r="J23" s="210"/>
      <c r="K23" s="207">
        <f t="shared" ca="1" si="15"/>
        <v>0</v>
      </c>
      <c r="L23" s="204"/>
      <c r="M23" s="207"/>
      <c r="N23" s="198"/>
      <c r="O23" s="123">
        <v>3</v>
      </c>
      <c r="P23" s="136"/>
      <c r="Q23" s="125" t="str">
        <f>IF(OR(R23="Preventivo",R23="Detectivo"),"Probabilidad",IF(R23="Correctivo","Impacto",""))</f>
        <v/>
      </c>
      <c r="R23" s="126"/>
      <c r="S23" s="126"/>
      <c r="T23" s="127" t="str">
        <f t="shared" si="16"/>
        <v/>
      </c>
      <c r="U23" s="126"/>
      <c r="V23" s="126"/>
      <c r="W23" s="126"/>
      <c r="X23" s="128" t="str">
        <f>IFERROR(IF(AND(Q22="Probabilidad",Q23="Probabilidad"),(Z22-(+Z22*T23)),IF(AND(Q22="Impacto",Q23="Probabilidad"),(Z21-(+Z21*T23)),IF(Q23="Impacto",Z22,""))),"")</f>
        <v/>
      </c>
      <c r="Y23" s="129" t="str">
        <f t="shared" si="1"/>
        <v/>
      </c>
      <c r="Z23" s="130" t="str">
        <f t="shared" si="17"/>
        <v/>
      </c>
      <c r="AA23" s="129" t="str">
        <f t="shared" si="3"/>
        <v/>
      </c>
      <c r="AB23" s="130" t="str">
        <f>IFERROR(IF(AND(Q22="Impacto",Q23="Impacto"),(AB22-(+AB22*T23)),IF(AND(Q22="Probabilidad",Q23="Impacto"),(AB21-(+AB21*T23)),IF(Q23="Probabilidad",AB22,""))),"")</f>
        <v/>
      </c>
      <c r="AC23" s="131" t="str">
        <f t="shared" si="18"/>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3"/>
      <c r="B24" s="192"/>
      <c r="C24" s="192"/>
      <c r="D24" s="192"/>
      <c r="E24" s="216"/>
      <c r="F24" s="192"/>
      <c r="G24" s="195"/>
      <c r="H24" s="204"/>
      <c r="I24" s="207"/>
      <c r="J24" s="210"/>
      <c r="K24" s="207">
        <f t="shared" ca="1" si="15"/>
        <v>0</v>
      </c>
      <c r="L24" s="204"/>
      <c r="M24" s="207"/>
      <c r="N24" s="198"/>
      <c r="O24" s="123">
        <v>4</v>
      </c>
      <c r="P24" s="124"/>
      <c r="Q24" s="125" t="str">
        <f t="shared" ref="Q24:Q26" si="19">IF(OR(R24="Preventivo",R24="Detectivo"),"Probabilidad",IF(R24="Correctivo","Impacto",""))</f>
        <v/>
      </c>
      <c r="R24" s="126"/>
      <c r="S24" s="126"/>
      <c r="T24" s="127" t="str">
        <f t="shared" si="16"/>
        <v/>
      </c>
      <c r="U24" s="126"/>
      <c r="V24" s="126"/>
      <c r="W24" s="126"/>
      <c r="X24" s="128" t="str">
        <f t="shared" ref="X24:X26" si="20">IFERROR(IF(AND(Q23="Probabilidad",Q24="Probabilidad"),(Z23-(+Z23*T24)),IF(AND(Q23="Impacto",Q24="Probabilidad"),(Z22-(+Z22*T24)),IF(Q24="Impacto",Z23,""))),"")</f>
        <v/>
      </c>
      <c r="Y24" s="129" t="str">
        <f t="shared" si="1"/>
        <v/>
      </c>
      <c r="Z24" s="130" t="str">
        <f t="shared" si="17"/>
        <v/>
      </c>
      <c r="AA24" s="129" t="str">
        <f t="shared" si="3"/>
        <v/>
      </c>
      <c r="AB24" s="130" t="str">
        <f t="shared" ref="AB24:AB26" si="21">IFERROR(IF(AND(Q23="Impacto",Q24="Impacto"),(AB23-(+AB23*T24)),IF(AND(Q23="Probabilidad",Q24="Impacto"),(AB22-(+AB22*T24)),IF(Q24="Probabilidad",AB23,""))),"")</f>
        <v/>
      </c>
      <c r="AC24" s="131" t="str">
        <f>IFERROR(IF(OR(AND(Y24="Muy Baja",AA24="Leve"),AND(Y24="Muy Baja",AA24="Menor"),AND(Y24="Baja",AA24="Leve")),"Bajo",IF(OR(AND(Y24="Muy baja",AA24="Moderado"),AND(Y24="Baja",AA24="Menor"),AND(Y24="Baja",AA24="Moderado"),AND(Y24="Media",AA24="Leve"),AND(Y24="Media",AA24="Menor"),AND(Y24="Media",AA24="Moderado"),AND(Y24="Alta",AA24="Leve"),AND(Y24="Alta",AA24="Menor")),"Moderado",IF(OR(AND(Y24="Muy Baja",AA24="Mayor"),AND(Y24="Baja",AA24="Mayor"),AND(Y24="Media",AA24="Mayor"),AND(Y24="Alta",AA24="Moderado"),AND(Y24="Alta",AA24="Mayor"),AND(Y24="Muy Alta",AA24="Leve"),AND(Y24="Muy Alta",AA24="Menor"),AND(Y24="Muy Alta",AA24="Moderado"),AND(Y24="Muy Alta",AA24="Mayor")),"Alto",IF(OR(AND(Y24="Muy Baja",AA24="Catastrófico"),AND(Y24="Baja",AA24="Catastrófico"),AND(Y24="Media",AA24="Catastrófico"),AND(Y24="Alta",AA24="Catastrófico"),AND(Y24="Muy Alta",AA24="Catastrófico")),"Extremo","")))),"")</f>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ca="1" si="15"/>
        <v>0</v>
      </c>
      <c r="L25" s="204"/>
      <c r="M25" s="207"/>
      <c r="N25" s="198"/>
      <c r="O25" s="123">
        <v>5</v>
      </c>
      <c r="P25" s="124"/>
      <c r="Q25" s="125" t="str">
        <f t="shared" si="19"/>
        <v/>
      </c>
      <c r="R25" s="126"/>
      <c r="S25" s="126"/>
      <c r="T25" s="127" t="str">
        <f t="shared" si="16"/>
        <v/>
      </c>
      <c r="U25" s="126"/>
      <c r="V25" s="126"/>
      <c r="W25" s="126"/>
      <c r="X25" s="128" t="str">
        <f t="shared" si="20"/>
        <v/>
      </c>
      <c r="Y25" s="129" t="str">
        <f t="shared" si="1"/>
        <v/>
      </c>
      <c r="Z25" s="130" t="str">
        <f t="shared" si="17"/>
        <v/>
      </c>
      <c r="AA25" s="129" t="str">
        <f t="shared" si="3"/>
        <v/>
      </c>
      <c r="AB25" s="130" t="str">
        <f t="shared" si="21"/>
        <v/>
      </c>
      <c r="AC25" s="131" t="str">
        <f t="shared" ref="AC25:AC26" si="22">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4"/>
      <c r="B26" s="193"/>
      <c r="C26" s="193"/>
      <c r="D26" s="193"/>
      <c r="E26" s="217"/>
      <c r="F26" s="193"/>
      <c r="G26" s="196"/>
      <c r="H26" s="205"/>
      <c r="I26" s="208"/>
      <c r="J26" s="211"/>
      <c r="K26" s="208">
        <f t="shared" ca="1" si="15"/>
        <v>0</v>
      </c>
      <c r="L26" s="205"/>
      <c r="M26" s="208"/>
      <c r="N26" s="199"/>
      <c r="O26" s="123">
        <v>6</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si="22"/>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2">
        <v>4</v>
      </c>
      <c r="B27" s="191"/>
      <c r="C27" s="191"/>
      <c r="D27" s="191"/>
      <c r="E27" s="215"/>
      <c r="F27" s="191"/>
      <c r="G27" s="194"/>
      <c r="H27" s="203" t="str">
        <f>IF(G27&lt;=0,"",IF(G27&lt;=2,"Muy Baja",IF(G27&lt;=24,"Baja",IF(G27&lt;=500,"Media",IF(G27&lt;=5000,"Alta","Muy Alta")))))</f>
        <v/>
      </c>
      <c r="I27" s="206" t="str">
        <f>IF(H27="","",IF(H27="Muy Baja",0.2,IF(H27="Baja",0.4,IF(H27="Media",0.6,IF(H27="Alta",0.8,IF(H27="Muy Alta",1,))))))</f>
        <v/>
      </c>
      <c r="J27" s="209"/>
      <c r="K27" s="206">
        <f ca="1">IF(NOT(ISERROR(MATCH(J27,'Tabla Impacto'!$B$221:$B$223,0))),'Tabla Impacto'!$F$223&amp;"Por favor no seleccionar los criterios de impacto(Afectación Económica o presupuestal y Pérdida Reputacional)",J27)</f>
        <v>0</v>
      </c>
      <c r="L27" s="203" t="str">
        <f ca="1">IF(OR(K27='Tabla Impacto'!$C$11,K27='Tabla Impacto'!$D$11),"Leve",IF(OR(K27='Tabla Impacto'!$C$12,K27='Tabla Impacto'!$D$12),"Menor",IF(OR(K27='Tabla Impacto'!$C$13,K27='Tabla Impacto'!$D$13),"Moderado",IF(OR(K27='Tabla Impacto'!$C$14,K27='Tabla Impacto'!$D$14),"Mayor",IF(OR(K27='Tabla Impacto'!$C$15,K27='Tabla Impacto'!$D$15),"Catastrófico","")))))</f>
        <v/>
      </c>
      <c r="M27" s="206" t="str">
        <f ca="1">IF(L27="","",IF(L27="Leve",0.2,IF(L27="Menor",0.4,IF(L27="Moderado",0.6,IF(L27="Mayor",0.8,IF(L27="Catastrófico",1,))))))</f>
        <v/>
      </c>
      <c r="N27" s="197" t="str">
        <f ca="1">IF(OR(AND(H27="Muy Baja",L27="Leve"),AND(H27="Muy Baja",L27="Menor"),AND(H27="Baja",L27="Leve")),"Bajo",IF(OR(AND(H27="Muy baja",L27="Moderado"),AND(H27="Baja",L27="Menor"),AND(H27="Baja",L27="Moderado"),AND(H27="Media",L27="Leve"),AND(H27="Media",L27="Menor"),AND(H27="Media",L27="Moderado"),AND(H27="Alta",L27="Leve"),AND(H27="Alta",L27="Menor")),"Moderado",IF(OR(AND(H27="Muy Baja",L27="Mayor"),AND(H27="Baja",L27="Mayor"),AND(H27="Media",L27="Mayor"),AND(H27="Alta",L27="Moderado"),AND(H27="Alta",L27="Mayor"),AND(H27="Muy Alta",L27="Leve"),AND(H27="Muy Alta",L27="Menor"),AND(H27="Muy Alta",L27="Moderado"),AND(H27="Muy Alta",L27="Mayor")),"Alto",IF(OR(AND(H27="Muy Baja",L27="Catastrófico"),AND(H27="Baja",L27="Catastrófico"),AND(H27="Media",L27="Catastrófico"),AND(H27="Alta",L27="Catastrófico"),AND(H27="Muy Alta",L27="Catastrófico")),"Extremo",""))))</f>
        <v/>
      </c>
      <c r="O27" s="123">
        <v>1</v>
      </c>
      <c r="P27" s="124"/>
      <c r="Q27" s="125" t="str">
        <f>IF(OR(R27="Preventivo",R27="Detectivo"),"Probabilidad",IF(R27="Correctivo","Impacto",""))</f>
        <v/>
      </c>
      <c r="R27" s="126"/>
      <c r="S27" s="126"/>
      <c r="T27" s="127" t="str">
        <f>IF(AND(R27="Preventivo",S27="Automático"),"50%",IF(AND(R27="Preventivo",S27="Manual"),"40%",IF(AND(R27="Detectivo",S27="Automático"),"40%",IF(AND(R27="Detectivo",S27="Manual"),"30%",IF(AND(R27="Correctivo",S27="Automático"),"35%",IF(AND(R27="Correctivo",S27="Manual"),"25%",""))))))</f>
        <v/>
      </c>
      <c r="U27" s="126"/>
      <c r="V27" s="126"/>
      <c r="W27" s="126"/>
      <c r="X27" s="128" t="str">
        <f>IFERROR(IF(Q27="Probabilidad",(I27-(+I27*T27)),IF(Q27="Impacto",I27,"")),"")</f>
        <v/>
      </c>
      <c r="Y27" s="129" t="str">
        <f>IFERROR(IF(X27="","",IF(X27&lt;=0.2,"Muy Baja",IF(X27&lt;=0.4,"Baja",IF(X27&lt;=0.6,"Media",IF(X27&lt;=0.8,"Alta","Muy Alta"))))),"")</f>
        <v/>
      </c>
      <c r="Z27" s="130" t="str">
        <f>+X27</f>
        <v/>
      </c>
      <c r="AA27" s="129" t="str">
        <f>IFERROR(IF(AB27="","",IF(AB27&lt;=0.2,"Leve",IF(AB27&lt;=0.4,"Menor",IF(AB27&lt;=0.6,"Moderado",IF(AB27&lt;=0.8,"Mayor","Catastrófico"))))),"")</f>
        <v/>
      </c>
      <c r="AB27" s="130" t="str">
        <f>IFERROR(IF(Q27="Impacto",(M27-(+M27*T27)),IF(Q27="Probabilidad",M27,"")),"")</f>
        <v/>
      </c>
      <c r="AC27" s="131" t="str">
        <f>IFERROR(IF(OR(AND(Y27="Muy Baja",AA27="Leve"),AND(Y27="Muy Baja",AA27="Menor"),AND(Y27="Baja",AA27="Leve")),"Bajo",IF(OR(AND(Y27="Muy baja",AA27="Moderado"),AND(Y27="Baja",AA27="Menor"),AND(Y27="Baja",AA27="Moderado"),AND(Y27="Media",AA27="Leve"),AND(Y27="Media",AA27="Menor"),AND(Y27="Media",AA27="Moderado"),AND(Y27="Alta",AA27="Leve"),AND(Y27="Alta",AA27="Menor")),"Moderado",IF(OR(AND(Y27="Muy Baja",AA27="Mayor"),AND(Y27="Baja",AA27="Mayor"),AND(Y27="Media",AA27="Mayor"),AND(Y27="Alta",AA27="Moderado"),AND(Y27="Alta",AA27="Mayor"),AND(Y27="Muy Alta",AA27="Leve"),AND(Y27="Muy Alta",AA27="Menor"),AND(Y27="Muy Alta",AA27="Moderado"),AND(Y27="Muy Alta",AA27="Mayor")),"Alto",IF(OR(AND(Y27="Muy Baja",AA27="Catastrófico"),AND(Y27="Baja",AA27="Catastrófico"),AND(Y27="Media",AA27="Catastrófico"),AND(Y27="Alta",AA27="Catastrófico"),AND(Y27="Muy Alta",AA27="Catastrófico")),"Extremo","")))),"")</f>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3"/>
      <c r="B28" s="192"/>
      <c r="C28" s="192"/>
      <c r="D28" s="192"/>
      <c r="E28" s="216"/>
      <c r="F28" s="192"/>
      <c r="G28" s="195"/>
      <c r="H28" s="204"/>
      <c r="I28" s="207"/>
      <c r="J28" s="210"/>
      <c r="K28" s="207">
        <f t="shared" ref="K28:K32" ca="1" si="23">IF(NOT(ISERROR(MATCH(J28,_xlfn.ANCHORARRAY(E39),0))),I41&amp;"Por favor no seleccionar los criterios de impacto",J28)</f>
        <v>0</v>
      </c>
      <c r="L28" s="204"/>
      <c r="M28" s="207"/>
      <c r="N28" s="198"/>
      <c r="O28" s="123">
        <v>2</v>
      </c>
      <c r="P28" s="124"/>
      <c r="Q28" s="125" t="str">
        <f>IF(OR(R28="Preventivo",R28="Detectivo"),"Probabilidad",IF(R28="Correctivo","Impacto",""))</f>
        <v/>
      </c>
      <c r="R28" s="126"/>
      <c r="S28" s="126"/>
      <c r="T28" s="127" t="str">
        <f t="shared" ref="T28:T32" si="24">IF(AND(R28="Preventivo",S28="Automático"),"50%",IF(AND(R28="Preventivo",S28="Manual"),"40%",IF(AND(R28="Detectivo",S28="Automático"),"40%",IF(AND(R28="Detectivo",S28="Manual"),"30%",IF(AND(R28="Correctivo",S28="Automático"),"35%",IF(AND(R28="Correctivo",S28="Manual"),"25%",""))))))</f>
        <v/>
      </c>
      <c r="U28" s="126"/>
      <c r="V28" s="126"/>
      <c r="W28" s="126"/>
      <c r="X28" s="128" t="str">
        <f>IFERROR(IF(AND(Q27="Probabilidad",Q28="Probabilidad"),(Z27-(+Z27*T28)),IF(Q28="Probabilidad",(I27-(+I27*T28)),IF(Q28="Impacto",Z27,""))),"")</f>
        <v/>
      </c>
      <c r="Y28" s="129" t="str">
        <f t="shared" si="1"/>
        <v/>
      </c>
      <c r="Z28" s="130" t="str">
        <f t="shared" ref="Z28:Z32" si="25">+X28</f>
        <v/>
      </c>
      <c r="AA28" s="129" t="str">
        <f t="shared" si="3"/>
        <v/>
      </c>
      <c r="AB28" s="130" t="str">
        <f>IFERROR(IF(AND(Q27="Impacto",Q28="Impacto"),(AB21-(+AB21*T28)),IF(Q28="Impacto",($M$27-(+$M$27*T28)),IF(Q28="Probabilidad",AB21,""))),"")</f>
        <v/>
      </c>
      <c r="AC28" s="131" t="str">
        <f t="shared" ref="AC28:AC29" si="26">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3"/>
      <c r="B29" s="192"/>
      <c r="C29" s="192"/>
      <c r="D29" s="192"/>
      <c r="E29" s="216"/>
      <c r="F29" s="192"/>
      <c r="G29" s="195"/>
      <c r="H29" s="204"/>
      <c r="I29" s="207"/>
      <c r="J29" s="210"/>
      <c r="K29" s="207">
        <f t="shared" ca="1" si="23"/>
        <v>0</v>
      </c>
      <c r="L29" s="204"/>
      <c r="M29" s="207"/>
      <c r="N29" s="198"/>
      <c r="O29" s="123">
        <v>3</v>
      </c>
      <c r="P29" s="136"/>
      <c r="Q29" s="125" t="str">
        <f>IF(OR(R29="Preventivo",R29="Detectivo"),"Probabilidad",IF(R29="Correctivo","Impacto",""))</f>
        <v/>
      </c>
      <c r="R29" s="126"/>
      <c r="S29" s="126"/>
      <c r="T29" s="127" t="str">
        <f t="shared" si="24"/>
        <v/>
      </c>
      <c r="U29" s="126"/>
      <c r="V29" s="126"/>
      <c r="W29" s="126"/>
      <c r="X29" s="128" t="str">
        <f>IFERROR(IF(AND(Q28="Probabilidad",Q29="Probabilidad"),(Z28-(+Z28*T29)),IF(AND(Q28="Impacto",Q29="Probabilidad"),(Z27-(+Z27*T29)),IF(Q29="Impacto",Z28,""))),"")</f>
        <v/>
      </c>
      <c r="Y29" s="129" t="str">
        <f t="shared" si="1"/>
        <v/>
      </c>
      <c r="Z29" s="130" t="str">
        <f t="shared" si="25"/>
        <v/>
      </c>
      <c r="AA29" s="129" t="str">
        <f t="shared" si="3"/>
        <v/>
      </c>
      <c r="AB29" s="130" t="str">
        <f>IFERROR(IF(AND(Q28="Impacto",Q29="Impacto"),(AB28-(+AB28*T29)),IF(AND(Q28="Probabilidad",Q29="Impacto"),(AB27-(+AB27*T29)),IF(Q29="Probabilidad",AB28,""))),"")</f>
        <v/>
      </c>
      <c r="AC29" s="131" t="str">
        <f t="shared" si="26"/>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3"/>
      <c r="B30" s="192"/>
      <c r="C30" s="192"/>
      <c r="D30" s="192"/>
      <c r="E30" s="216"/>
      <c r="F30" s="192"/>
      <c r="G30" s="195"/>
      <c r="H30" s="204"/>
      <c r="I30" s="207"/>
      <c r="J30" s="210"/>
      <c r="K30" s="207">
        <f t="shared" ca="1" si="23"/>
        <v>0</v>
      </c>
      <c r="L30" s="204"/>
      <c r="M30" s="207"/>
      <c r="N30" s="198"/>
      <c r="O30" s="123">
        <v>4</v>
      </c>
      <c r="P30" s="124"/>
      <c r="Q30" s="125" t="str">
        <f t="shared" ref="Q30:Q32" si="27">IF(OR(R30="Preventivo",R30="Detectivo"),"Probabilidad",IF(R30="Correctivo","Impacto",""))</f>
        <v/>
      </c>
      <c r="R30" s="126"/>
      <c r="S30" s="126"/>
      <c r="T30" s="127" t="str">
        <f t="shared" si="24"/>
        <v/>
      </c>
      <c r="U30" s="126"/>
      <c r="V30" s="126"/>
      <c r="W30" s="126"/>
      <c r="X30" s="128" t="str">
        <f t="shared" ref="X30:X32" si="28">IFERROR(IF(AND(Q29="Probabilidad",Q30="Probabilidad"),(Z29-(+Z29*T30)),IF(AND(Q29="Impacto",Q30="Probabilidad"),(Z28-(+Z28*T30)),IF(Q30="Impacto",Z29,""))),"")</f>
        <v/>
      </c>
      <c r="Y30" s="129" t="str">
        <f t="shared" si="1"/>
        <v/>
      </c>
      <c r="Z30" s="130" t="str">
        <f t="shared" si="25"/>
        <v/>
      </c>
      <c r="AA30" s="129" t="str">
        <f t="shared" si="3"/>
        <v/>
      </c>
      <c r="AB30" s="130" t="str">
        <f t="shared" ref="AB30:AB32" si="29">IFERROR(IF(AND(Q29="Impacto",Q30="Impacto"),(AB29-(+AB29*T30)),IF(AND(Q29="Probabilidad",Q30="Impacto"),(AB28-(+AB28*T30)),IF(Q30="Probabilidad",AB29,""))),"")</f>
        <v/>
      </c>
      <c r="AC30" s="131"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ca="1" si="23"/>
        <v>0</v>
      </c>
      <c r="L31" s="204"/>
      <c r="M31" s="207"/>
      <c r="N31" s="198"/>
      <c r="O31" s="123">
        <v>5</v>
      </c>
      <c r="P31" s="124"/>
      <c r="Q31" s="125" t="str">
        <f t="shared" si="27"/>
        <v/>
      </c>
      <c r="R31" s="126"/>
      <c r="S31" s="126"/>
      <c r="T31" s="127" t="str">
        <f t="shared" si="24"/>
        <v/>
      </c>
      <c r="U31" s="126"/>
      <c r="V31" s="126"/>
      <c r="W31" s="126"/>
      <c r="X31" s="137" t="str">
        <f t="shared" si="28"/>
        <v/>
      </c>
      <c r="Y31" s="129" t="str">
        <f>IFERROR(IF(X31="","",IF(X31&lt;=0.2,"Muy Baja",IF(X31&lt;=0.4,"Baja",IF(X31&lt;=0.6,"Media",IF(X31&lt;=0.8,"Alta","Muy Alta"))))),"")</f>
        <v/>
      </c>
      <c r="Z31" s="130" t="str">
        <f t="shared" si="25"/>
        <v/>
      </c>
      <c r="AA31" s="129" t="str">
        <f t="shared" si="3"/>
        <v/>
      </c>
      <c r="AB31" s="130" t="str">
        <f t="shared" si="29"/>
        <v/>
      </c>
      <c r="AC31" s="131" t="str">
        <f t="shared" ref="AC31:AC32" si="30">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4"/>
      <c r="B32" s="193"/>
      <c r="C32" s="193"/>
      <c r="D32" s="193"/>
      <c r="E32" s="217"/>
      <c r="F32" s="193"/>
      <c r="G32" s="196"/>
      <c r="H32" s="205"/>
      <c r="I32" s="208"/>
      <c r="J32" s="211"/>
      <c r="K32" s="208">
        <f t="shared" ca="1" si="23"/>
        <v>0</v>
      </c>
      <c r="L32" s="205"/>
      <c r="M32" s="208"/>
      <c r="N32" s="199"/>
      <c r="O32" s="123">
        <v>6</v>
      </c>
      <c r="P32" s="124"/>
      <c r="Q32" s="125" t="str">
        <f t="shared" si="27"/>
        <v/>
      </c>
      <c r="R32" s="126"/>
      <c r="S32" s="126"/>
      <c r="T32" s="127" t="str">
        <f t="shared" si="24"/>
        <v/>
      </c>
      <c r="U32" s="126"/>
      <c r="V32" s="126"/>
      <c r="W32" s="126"/>
      <c r="X32" s="128" t="str">
        <f t="shared" si="28"/>
        <v/>
      </c>
      <c r="Y32" s="129" t="str">
        <f t="shared" si="1"/>
        <v/>
      </c>
      <c r="Z32" s="130" t="str">
        <f t="shared" si="25"/>
        <v/>
      </c>
      <c r="AA32" s="129" t="str">
        <f t="shared" si="3"/>
        <v/>
      </c>
      <c r="AB32" s="130" t="str">
        <f t="shared" si="29"/>
        <v/>
      </c>
      <c r="AC32" s="131" t="str">
        <f t="shared" si="30"/>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2">
        <v>5</v>
      </c>
      <c r="B33" s="191"/>
      <c r="C33" s="191"/>
      <c r="D33" s="191"/>
      <c r="E33" s="215"/>
      <c r="F33" s="191"/>
      <c r="G33" s="194"/>
      <c r="H33" s="203" t="str">
        <f>IF(G33&lt;=0,"",IF(G33&lt;=2,"Muy Baja",IF(G33&lt;=24,"Baja",IF(G33&lt;=500,"Media",IF(G33&lt;=5000,"Alta","Muy Alta")))))</f>
        <v/>
      </c>
      <c r="I33" s="206" t="str">
        <f>IF(H33="","",IF(H33="Muy Baja",0.2,IF(H33="Baja",0.4,IF(H33="Media",0.6,IF(H33="Alta",0.8,IF(H33="Muy Alta",1,))))))</f>
        <v/>
      </c>
      <c r="J33" s="209"/>
      <c r="K33" s="206">
        <f ca="1">IF(NOT(ISERROR(MATCH(J33,'Tabla Impacto'!$B$221:$B$223,0))),'Tabla Impacto'!$F$223&amp;"Por favor no seleccionar los criterios de impacto(Afectación Económica o presupuestal y Pérdida Reputacional)",J33)</f>
        <v>0</v>
      </c>
      <c r="L33" s="203" t="str">
        <f ca="1">IF(OR(K33='Tabla Impacto'!$C$11,K33='Tabla Impacto'!$D$11),"Leve",IF(OR(K33='Tabla Impacto'!$C$12,K33='Tabla Impacto'!$D$12),"Menor",IF(OR(K33='Tabla Impacto'!$C$13,K33='Tabla Impacto'!$D$13),"Moderado",IF(OR(K33='Tabla Impacto'!$C$14,K33='Tabla Impacto'!$D$14),"Mayor",IF(OR(K33='Tabla Impacto'!$C$15,K33='Tabla Impacto'!$D$15),"Catastrófico","")))))</f>
        <v/>
      </c>
      <c r="M33" s="206" t="str">
        <f ca="1">IF(L33="","",IF(L33="Leve",0.2,IF(L33="Menor",0.4,IF(L33="Moderado",0.6,IF(L33="Mayor",0.8,IF(L33="Catastrófico",1,))))))</f>
        <v/>
      </c>
      <c r="N33" s="197" t="str">
        <f ca="1">IF(OR(AND(H33="Muy Baja",L33="Leve"),AND(H33="Muy Baja",L33="Menor"),AND(H33="Baja",L33="Leve")),"Bajo",IF(OR(AND(H33="Muy baja",L33="Moderado"),AND(H33="Baja",L33="Menor"),AND(H33="Baja",L33="Moderado"),AND(H33="Media",L33="Leve"),AND(H33="Media",L33="Menor"),AND(H33="Media",L33="Moderado"),AND(H33="Alta",L33="Leve"),AND(H33="Alta",L33="Menor")),"Moderado",IF(OR(AND(H33="Muy Baja",L33="Mayor"),AND(H33="Baja",L33="Mayor"),AND(H33="Media",L33="Mayor"),AND(H33="Alta",L33="Moderado"),AND(H33="Alta",L33="Mayor"),AND(H33="Muy Alta",L33="Leve"),AND(H33="Muy Alta",L33="Menor"),AND(H33="Muy Alta",L33="Moderado"),AND(H33="Muy Alta",L33="Mayor")),"Alto",IF(OR(AND(H33="Muy Baja",L33="Catastrófico"),AND(H33="Baja",L33="Catastrófico"),AND(H33="Media",L33="Catastrófico"),AND(H33="Alta",L33="Catastrófico"),AND(H33="Muy Alta",L33="Catastrófico")),"Extremo",""))))</f>
        <v/>
      </c>
      <c r="O33" s="123">
        <v>1</v>
      </c>
      <c r="P33" s="124"/>
      <c r="Q33" s="125" t="str">
        <f>IF(OR(R33="Preventivo",R33="Detectivo"),"Probabilidad",IF(R33="Correctivo","Impacto",""))</f>
        <v/>
      </c>
      <c r="R33" s="126"/>
      <c r="S33" s="126"/>
      <c r="T33" s="127" t="str">
        <f>IF(AND(R33="Preventivo",S33="Automático"),"50%",IF(AND(R33="Preventivo",S33="Manual"),"40%",IF(AND(R33="Detectivo",S33="Automático"),"40%",IF(AND(R33="Detectivo",S33="Manual"),"30%",IF(AND(R33="Correctivo",S33="Automático"),"35%",IF(AND(R33="Correctivo",S33="Manual"),"25%",""))))))</f>
        <v/>
      </c>
      <c r="U33" s="126"/>
      <c r="V33" s="126"/>
      <c r="W33" s="126"/>
      <c r="X33" s="128" t="str">
        <f>IFERROR(IF(Q33="Probabilidad",(I33-(+I33*T33)),IF(Q33="Impacto",I33,"")),"")</f>
        <v/>
      </c>
      <c r="Y33" s="129" t="str">
        <f>IFERROR(IF(X33="","",IF(X33&lt;=0.2,"Muy Baja",IF(X33&lt;=0.4,"Baja",IF(X33&lt;=0.6,"Media",IF(X33&lt;=0.8,"Alta","Muy Alta"))))),"")</f>
        <v/>
      </c>
      <c r="Z33" s="130" t="str">
        <f>+X33</f>
        <v/>
      </c>
      <c r="AA33" s="129" t="str">
        <f>IFERROR(IF(AB33="","",IF(AB33&lt;=0.2,"Leve",IF(AB33&lt;=0.4,"Menor",IF(AB33&lt;=0.6,"Moderado",IF(AB33&lt;=0.8,"Mayor","Catastrófico"))))),"")</f>
        <v/>
      </c>
      <c r="AB33" s="130" t="str">
        <f>IFERROR(IF(Q33="Impacto",(M33-(+M33*T33)),IF(Q33="Probabilidad",M33,"")),"")</f>
        <v/>
      </c>
      <c r="AC33" s="131" t="str">
        <f>IFERROR(IF(OR(AND(Y33="Muy Baja",AA33="Leve"),AND(Y33="Muy Baja",AA33="Menor"),AND(Y33="Baja",AA33="Leve")),"Bajo",IF(OR(AND(Y33="Muy baja",AA33="Moderado"),AND(Y33="Baja",AA33="Menor"),AND(Y33="Baja",AA33="Moderado"),AND(Y33="Media",AA33="Leve"),AND(Y33="Media",AA33="Menor"),AND(Y33="Media",AA33="Moderado"),AND(Y33="Alta",AA33="Leve"),AND(Y33="Alta",AA33="Menor")),"Moderado",IF(OR(AND(Y33="Muy Baja",AA33="Mayor"),AND(Y33="Baja",AA33="Mayor"),AND(Y33="Media",AA33="Mayor"),AND(Y33="Alta",AA33="Moderado"),AND(Y33="Alta",AA33="Mayor"),AND(Y33="Muy Alta",AA33="Leve"),AND(Y33="Muy Alta",AA33="Menor"),AND(Y33="Muy Alta",AA33="Moderado"),AND(Y33="Muy Alta",AA33="Mayor")),"Alto",IF(OR(AND(Y33="Muy Baja",AA33="Catastrófico"),AND(Y33="Baja",AA33="Catastrófico"),AND(Y33="Media",AA33="Catastrófico"),AND(Y33="Alta",AA33="Catastrófico"),AND(Y33="Muy Alta",AA33="Catastrófico")),"Extremo","")))),"")</f>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3"/>
      <c r="B34" s="192"/>
      <c r="C34" s="192"/>
      <c r="D34" s="192"/>
      <c r="E34" s="216"/>
      <c r="F34" s="192"/>
      <c r="G34" s="195"/>
      <c r="H34" s="204"/>
      <c r="I34" s="207"/>
      <c r="J34" s="210"/>
      <c r="K34" s="207">
        <f t="shared" ref="K34:K38" ca="1" si="31">IF(NOT(ISERROR(MATCH(J34,_xlfn.ANCHORARRAY(E45),0))),I47&amp;"Por favor no seleccionar los criterios de impacto",J34)</f>
        <v>0</v>
      </c>
      <c r="L34" s="204"/>
      <c r="M34" s="207"/>
      <c r="N34" s="198"/>
      <c r="O34" s="123">
        <v>2</v>
      </c>
      <c r="P34" s="124"/>
      <c r="Q34" s="125" t="str">
        <f>IF(OR(R34="Preventivo",R34="Detectivo"),"Probabilidad",IF(R34="Correctivo","Impacto",""))</f>
        <v/>
      </c>
      <c r="R34" s="126"/>
      <c r="S34" s="126"/>
      <c r="T34" s="127" t="str">
        <f t="shared" ref="T34:T38" si="32">IF(AND(R34="Preventivo",S34="Automático"),"50%",IF(AND(R34="Preventivo",S34="Manual"),"40%",IF(AND(R34="Detectivo",S34="Automático"),"40%",IF(AND(R34="Detectivo",S34="Manual"),"30%",IF(AND(R34="Correctivo",S34="Automático"),"35%",IF(AND(R34="Correctivo",S34="Manual"),"25%",""))))))</f>
        <v/>
      </c>
      <c r="U34" s="126"/>
      <c r="V34" s="126"/>
      <c r="W34" s="126"/>
      <c r="X34" s="128" t="str">
        <f>IFERROR(IF(AND(Q33="Probabilidad",Q34="Probabilidad"),(Z33-(+Z33*T34)),IF(Q34="Probabilidad",(I33-(+I33*T34)),IF(Q34="Impacto",Z33,""))),"")</f>
        <v/>
      </c>
      <c r="Y34" s="129" t="str">
        <f t="shared" si="1"/>
        <v/>
      </c>
      <c r="Z34" s="130" t="str">
        <f t="shared" ref="Z34:Z38" si="33">+X34</f>
        <v/>
      </c>
      <c r="AA34" s="129" t="str">
        <f t="shared" si="3"/>
        <v/>
      </c>
      <c r="AB34" s="130" t="str">
        <f>IFERROR(IF(AND(Q33="Impacto",Q34="Impacto"),(AB27-(+AB27*T34)),IF(Q34="Impacto",($M$33-(+$M$33*T34)),IF(Q34="Probabilidad",AB27,""))),"")</f>
        <v/>
      </c>
      <c r="AC34" s="131" t="str">
        <f t="shared" ref="AC34:AC35" si="34">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3"/>
      <c r="B35" s="192"/>
      <c r="C35" s="192"/>
      <c r="D35" s="192"/>
      <c r="E35" s="216"/>
      <c r="F35" s="192"/>
      <c r="G35" s="195"/>
      <c r="H35" s="204"/>
      <c r="I35" s="207"/>
      <c r="J35" s="210"/>
      <c r="K35" s="207">
        <f t="shared" ca="1" si="31"/>
        <v>0</v>
      </c>
      <c r="L35" s="204"/>
      <c r="M35" s="207"/>
      <c r="N35" s="198"/>
      <c r="O35" s="123">
        <v>3</v>
      </c>
      <c r="P35" s="136"/>
      <c r="Q35" s="125" t="str">
        <f>IF(OR(R35="Preventivo",R35="Detectivo"),"Probabilidad",IF(R35="Correctivo","Impacto",""))</f>
        <v/>
      </c>
      <c r="R35" s="126"/>
      <c r="S35" s="126"/>
      <c r="T35" s="127" t="str">
        <f t="shared" si="32"/>
        <v/>
      </c>
      <c r="U35" s="126"/>
      <c r="V35" s="126"/>
      <c r="W35" s="126"/>
      <c r="X35" s="128" t="str">
        <f>IFERROR(IF(AND(Q34="Probabilidad",Q35="Probabilidad"),(Z34-(+Z34*T35)),IF(AND(Q34="Impacto",Q35="Probabilidad"),(Z33-(+Z33*T35)),IF(Q35="Impacto",Z34,""))),"")</f>
        <v/>
      </c>
      <c r="Y35" s="129" t="str">
        <f t="shared" si="1"/>
        <v/>
      </c>
      <c r="Z35" s="130" t="str">
        <f t="shared" si="33"/>
        <v/>
      </c>
      <c r="AA35" s="129" t="str">
        <f t="shared" si="3"/>
        <v/>
      </c>
      <c r="AB35" s="130" t="str">
        <f>IFERROR(IF(AND(Q34="Impacto",Q35="Impacto"),(AB34-(+AB34*T35)),IF(AND(Q34="Probabilidad",Q35="Impacto"),(AB33-(+AB33*T35)),IF(Q35="Probabilidad",AB34,""))),"")</f>
        <v/>
      </c>
      <c r="AC35" s="131" t="str">
        <f t="shared" si="34"/>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3"/>
      <c r="B36" s="192"/>
      <c r="C36" s="192"/>
      <c r="D36" s="192"/>
      <c r="E36" s="216"/>
      <c r="F36" s="192"/>
      <c r="G36" s="195"/>
      <c r="H36" s="204"/>
      <c r="I36" s="207"/>
      <c r="J36" s="210"/>
      <c r="K36" s="207">
        <f t="shared" ca="1" si="31"/>
        <v>0</v>
      </c>
      <c r="L36" s="204"/>
      <c r="M36" s="207"/>
      <c r="N36" s="198"/>
      <c r="O36" s="123">
        <v>4</v>
      </c>
      <c r="P36" s="124"/>
      <c r="Q36" s="125" t="str">
        <f t="shared" ref="Q36:Q38" si="35">IF(OR(R36="Preventivo",R36="Detectivo"),"Probabilidad",IF(R36="Correctivo","Impacto",""))</f>
        <v/>
      </c>
      <c r="R36" s="126"/>
      <c r="S36" s="126"/>
      <c r="T36" s="127" t="str">
        <f t="shared" si="32"/>
        <v/>
      </c>
      <c r="U36" s="126"/>
      <c r="V36" s="126"/>
      <c r="W36" s="126"/>
      <c r="X36" s="128" t="str">
        <f t="shared" ref="X36:X38" si="36">IFERROR(IF(AND(Q35="Probabilidad",Q36="Probabilidad"),(Z35-(+Z35*T36)),IF(AND(Q35="Impacto",Q36="Probabilidad"),(Z34-(+Z34*T36)),IF(Q36="Impacto",Z35,""))),"")</f>
        <v/>
      </c>
      <c r="Y36" s="129" t="str">
        <f t="shared" si="1"/>
        <v/>
      </c>
      <c r="Z36" s="130" t="str">
        <f t="shared" si="33"/>
        <v/>
      </c>
      <c r="AA36" s="129" t="str">
        <f t="shared" si="3"/>
        <v/>
      </c>
      <c r="AB36" s="130" t="str">
        <f t="shared" ref="AB36:AB38" si="37">IFERROR(IF(AND(Q35="Impacto",Q36="Impacto"),(AB35-(+AB35*T36)),IF(AND(Q35="Probabilidad",Q36="Impacto"),(AB34-(+AB34*T36)),IF(Q36="Probabilidad",AB35,""))),"")</f>
        <v/>
      </c>
      <c r="AC36" s="131" t="str">
        <f>IFERROR(IF(OR(AND(Y36="Muy Baja",AA36="Leve"),AND(Y36="Muy Baja",AA36="Menor"),AND(Y36="Baja",AA36="Leve")),"Bajo",IF(OR(AND(Y36="Muy baja",AA36="Moderado"),AND(Y36="Baja",AA36="Menor"),AND(Y36="Baja",AA36="Moderado"),AND(Y36="Media",AA36="Leve"),AND(Y36="Media",AA36="Menor"),AND(Y36="Media",AA36="Moderado"),AND(Y36="Alta",AA36="Leve"),AND(Y36="Alta",AA36="Menor")),"Moderado",IF(OR(AND(Y36="Muy Baja",AA36="Mayor"),AND(Y36="Baja",AA36="Mayor"),AND(Y36="Media",AA36="Mayor"),AND(Y36="Alta",AA36="Moderado"),AND(Y36="Alta",AA36="Mayor"),AND(Y36="Muy Alta",AA36="Leve"),AND(Y36="Muy Alta",AA36="Menor"),AND(Y36="Muy Alta",AA36="Moderado"),AND(Y36="Muy Alta",AA36="Mayor")),"Alto",IF(OR(AND(Y36="Muy Baja",AA36="Catastrófico"),AND(Y36="Baja",AA36="Catastrófico"),AND(Y36="Media",AA36="Catastrófico"),AND(Y36="Alta",AA36="Catastrófico"),AND(Y36="Muy Alta",AA36="Catastrófico")),"Extremo","")))),"")</f>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ca="1" si="31"/>
        <v>0</v>
      </c>
      <c r="L37" s="204"/>
      <c r="M37" s="207"/>
      <c r="N37" s="198"/>
      <c r="O37" s="123">
        <v>5</v>
      </c>
      <c r="P37" s="124"/>
      <c r="Q37" s="125" t="str">
        <f t="shared" si="35"/>
        <v/>
      </c>
      <c r="R37" s="126"/>
      <c r="S37" s="126"/>
      <c r="T37" s="127" t="str">
        <f t="shared" si="32"/>
        <v/>
      </c>
      <c r="U37" s="126"/>
      <c r="V37" s="126"/>
      <c r="W37" s="126"/>
      <c r="X37" s="128" t="str">
        <f t="shared" si="36"/>
        <v/>
      </c>
      <c r="Y37" s="129" t="str">
        <f t="shared" si="1"/>
        <v/>
      </c>
      <c r="Z37" s="130" t="str">
        <f t="shared" si="33"/>
        <v/>
      </c>
      <c r="AA37" s="129" t="str">
        <f t="shared" si="3"/>
        <v/>
      </c>
      <c r="AB37" s="130" t="str">
        <f t="shared" si="37"/>
        <v/>
      </c>
      <c r="AC37" s="131" t="str">
        <f t="shared" ref="AC37:AC38" si="38">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4"/>
      <c r="B38" s="193"/>
      <c r="C38" s="193"/>
      <c r="D38" s="193"/>
      <c r="E38" s="217"/>
      <c r="F38" s="193"/>
      <c r="G38" s="196"/>
      <c r="H38" s="205"/>
      <c r="I38" s="208"/>
      <c r="J38" s="211"/>
      <c r="K38" s="208">
        <f t="shared" ca="1" si="31"/>
        <v>0</v>
      </c>
      <c r="L38" s="205"/>
      <c r="M38" s="208"/>
      <c r="N38" s="199"/>
      <c r="O38" s="123">
        <v>6</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si="38"/>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2">
        <v>6</v>
      </c>
      <c r="B39" s="191"/>
      <c r="C39" s="191"/>
      <c r="D39" s="191"/>
      <c r="E39" s="215"/>
      <c r="F39" s="191"/>
      <c r="G39" s="194"/>
      <c r="H39" s="203" t="str">
        <f>IF(G39&lt;=0,"",IF(G39&lt;=2,"Muy Baja",IF(G39&lt;=24,"Baja",IF(G39&lt;=500,"Media",IF(G39&lt;=5000,"Alta","Muy Alta")))))</f>
        <v/>
      </c>
      <c r="I39" s="206" t="str">
        <f>IF(H39="","",IF(H39="Muy Baja",0.2,IF(H39="Baja",0.4,IF(H39="Media",0.6,IF(H39="Alta",0.8,IF(H39="Muy Alta",1,))))))</f>
        <v/>
      </c>
      <c r="J39" s="209"/>
      <c r="K39" s="206">
        <f ca="1">IF(NOT(ISERROR(MATCH(J39,'Tabla Impacto'!$B$221:$B$223,0))),'Tabla Impacto'!$F$223&amp;"Por favor no seleccionar los criterios de impacto(Afectación Económica o presupuestal y Pérdida Reputacional)",J39)</f>
        <v>0</v>
      </c>
      <c r="L39" s="203" t="str">
        <f ca="1">IF(OR(K39='Tabla Impacto'!$C$11,K39='Tabla Impacto'!$D$11),"Leve",IF(OR(K39='Tabla Impacto'!$C$12,K39='Tabla Impacto'!$D$12),"Menor",IF(OR(K39='Tabla Impacto'!$C$13,K39='Tabla Impacto'!$D$13),"Moderado",IF(OR(K39='Tabla Impacto'!$C$14,K39='Tabla Impacto'!$D$14),"Mayor",IF(OR(K39='Tabla Impacto'!$C$15,K39='Tabla Impacto'!$D$15),"Catastrófico","")))))</f>
        <v/>
      </c>
      <c r="M39" s="206" t="str">
        <f ca="1">IF(L39="","",IF(L39="Leve",0.2,IF(L39="Menor",0.4,IF(L39="Moderado",0.6,IF(L39="Mayor",0.8,IF(L39="Catastrófico",1,))))))</f>
        <v/>
      </c>
      <c r="N39" s="197" t="str">
        <f ca="1">IF(OR(AND(H39="Muy Baja",L39="Leve"),AND(H39="Muy Baja",L39="Menor"),AND(H39="Baja",L39="Leve")),"Bajo",IF(OR(AND(H39="Muy baja",L39="Moderado"),AND(H39="Baja",L39="Menor"),AND(H39="Baja",L39="Moderado"),AND(H39="Media",L39="Leve"),AND(H39="Media",L39="Menor"),AND(H39="Media",L39="Moderado"),AND(H39="Alta",L39="Leve"),AND(H39="Alta",L39="Menor")),"Moderado",IF(OR(AND(H39="Muy Baja",L39="Mayor"),AND(H39="Baja",L39="Mayor"),AND(H39="Media",L39="Mayor"),AND(H39="Alta",L39="Moderado"),AND(H39="Alta",L39="Mayor"),AND(H39="Muy Alta",L39="Leve"),AND(H39="Muy Alta",L39="Menor"),AND(H39="Muy Alta",L39="Moderado"),AND(H39="Muy Alta",L39="Mayor")),"Alto",IF(OR(AND(H39="Muy Baja",L39="Catastrófico"),AND(H39="Baja",L39="Catastrófico"),AND(H39="Media",L39="Catastrófico"),AND(H39="Alta",L39="Catastrófico"),AND(H39="Muy Alta",L39="Catastrófico")),"Extremo",""))))</f>
        <v/>
      </c>
      <c r="O39" s="123">
        <v>1</v>
      </c>
      <c r="P39" s="124"/>
      <c r="Q39" s="125" t="str">
        <f>IF(OR(R39="Preventivo",R39="Detectivo"),"Probabilidad",IF(R39="Correctivo","Impacto",""))</f>
        <v/>
      </c>
      <c r="R39" s="126"/>
      <c r="S39" s="126"/>
      <c r="T39" s="127" t="str">
        <f>IF(AND(R39="Preventivo",S39="Automático"),"50%",IF(AND(R39="Preventivo",S39="Manual"),"40%",IF(AND(R39="Detectivo",S39="Automático"),"40%",IF(AND(R39="Detectivo",S39="Manual"),"30%",IF(AND(R39="Correctivo",S39="Automático"),"35%",IF(AND(R39="Correctivo",S39="Manual"),"25%",""))))))</f>
        <v/>
      </c>
      <c r="U39" s="126"/>
      <c r="V39" s="126"/>
      <c r="W39" s="126"/>
      <c r="X39" s="128" t="str">
        <f>IFERROR(IF(Q39="Probabilidad",(I39-(+I39*T39)),IF(Q39="Impacto",I39,"")),"")</f>
        <v/>
      </c>
      <c r="Y39" s="129" t="str">
        <f>IFERROR(IF(X39="","",IF(X39&lt;=0.2,"Muy Baja",IF(X39&lt;=0.4,"Baja",IF(X39&lt;=0.6,"Media",IF(X39&lt;=0.8,"Alta","Muy Alta"))))),"")</f>
        <v/>
      </c>
      <c r="Z39" s="130" t="str">
        <f>+X39</f>
        <v/>
      </c>
      <c r="AA39" s="129" t="str">
        <f>IFERROR(IF(AB39="","",IF(AB39&lt;=0.2,"Leve",IF(AB39&lt;=0.4,"Menor",IF(AB39&lt;=0.6,"Moderado",IF(AB39&lt;=0.8,"Mayor","Catastrófico"))))),"")</f>
        <v/>
      </c>
      <c r="AB39" s="130" t="str">
        <f>IFERROR(IF(Q39="Impacto",(M39-(+M39*T39)),IF(Q39="Probabilidad",M39,"")),"")</f>
        <v/>
      </c>
      <c r="AC39" s="131" t="str">
        <f>IFERROR(IF(OR(AND(Y39="Muy Baja",AA39="Leve"),AND(Y39="Muy Baja",AA39="Menor"),AND(Y39="Baja",AA39="Leve")),"Bajo",IF(OR(AND(Y39="Muy baja",AA39="Moderado"),AND(Y39="Baja",AA39="Menor"),AND(Y39="Baja",AA39="Moderado"),AND(Y39="Media",AA39="Leve"),AND(Y39="Media",AA39="Menor"),AND(Y39="Media",AA39="Moderado"),AND(Y39="Alta",AA39="Leve"),AND(Y39="Alta",AA39="Menor")),"Moderado",IF(OR(AND(Y39="Muy Baja",AA39="Mayor"),AND(Y39="Baja",AA39="Mayor"),AND(Y39="Media",AA39="Mayor"),AND(Y39="Alta",AA39="Moderado"),AND(Y39="Alta",AA39="Mayor"),AND(Y39="Muy Alta",AA39="Leve"),AND(Y39="Muy Alta",AA39="Menor"),AND(Y39="Muy Alta",AA39="Moderado"),AND(Y39="Muy Alta",AA39="Mayor")),"Alto",IF(OR(AND(Y39="Muy Baja",AA39="Catastrófico"),AND(Y39="Baja",AA39="Catastrófico"),AND(Y39="Media",AA39="Catastrófico"),AND(Y39="Alta",AA39="Catastrófico"),AND(Y39="Muy Alta",AA39="Catastrófico")),"Extremo","")))),"")</f>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3"/>
      <c r="B40" s="192"/>
      <c r="C40" s="192"/>
      <c r="D40" s="192"/>
      <c r="E40" s="216"/>
      <c r="F40" s="192"/>
      <c r="G40" s="195"/>
      <c r="H40" s="204"/>
      <c r="I40" s="207"/>
      <c r="J40" s="210"/>
      <c r="K40" s="207">
        <f t="shared" ref="K40:K44" ca="1" si="39">IF(NOT(ISERROR(MATCH(J40,_xlfn.ANCHORARRAY(E51),0))),I53&amp;"Por favor no seleccionar los criterios de impacto",J40)</f>
        <v>0</v>
      </c>
      <c r="L40" s="204"/>
      <c r="M40" s="207"/>
      <c r="N40" s="198"/>
      <c r="O40" s="123">
        <v>2</v>
      </c>
      <c r="P40" s="124"/>
      <c r="Q40" s="125" t="str">
        <f>IF(OR(R40="Preventivo",R40="Detectivo"),"Probabilidad",IF(R40="Correctivo","Impacto",""))</f>
        <v/>
      </c>
      <c r="R40" s="126"/>
      <c r="S40" s="126"/>
      <c r="T40" s="127" t="str">
        <f t="shared" ref="T40:T44" si="40">IF(AND(R40="Preventivo",S40="Automático"),"50%",IF(AND(R40="Preventivo",S40="Manual"),"40%",IF(AND(R40="Detectivo",S40="Automático"),"40%",IF(AND(R40="Detectivo",S40="Manual"),"30%",IF(AND(R40="Correctivo",S40="Automático"),"35%",IF(AND(R40="Correctivo",S40="Manual"),"25%",""))))))</f>
        <v/>
      </c>
      <c r="U40" s="126"/>
      <c r="V40" s="126"/>
      <c r="W40" s="126"/>
      <c r="X40" s="128" t="str">
        <f>IFERROR(IF(AND(Q39="Probabilidad",Q40="Probabilidad"),(Z39-(+Z39*T40)),IF(Q40="Probabilidad",(I39-(+I39*T40)),IF(Q40="Impacto",Z39,""))),"")</f>
        <v/>
      </c>
      <c r="Y40" s="129" t="str">
        <f t="shared" si="1"/>
        <v/>
      </c>
      <c r="Z40" s="130" t="str">
        <f t="shared" ref="Z40:Z44" si="41">+X40</f>
        <v/>
      </c>
      <c r="AA40" s="129" t="str">
        <f t="shared" si="3"/>
        <v/>
      </c>
      <c r="AB40" s="130" t="str">
        <f>IFERROR(IF(AND(Q39="Impacto",Q40="Impacto"),(AB33-(+AB33*T40)),IF(Q40="Impacto",($M$39-(+$M$39*T40)),IF(Q40="Probabilidad",AB33,""))),"")</f>
        <v/>
      </c>
      <c r="AC40" s="131" t="str">
        <f t="shared" ref="AC40:AC41" si="42">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3"/>
      <c r="B41" s="192"/>
      <c r="C41" s="192"/>
      <c r="D41" s="192"/>
      <c r="E41" s="216"/>
      <c r="F41" s="192"/>
      <c r="G41" s="195"/>
      <c r="H41" s="204"/>
      <c r="I41" s="207"/>
      <c r="J41" s="210"/>
      <c r="K41" s="207">
        <f t="shared" ca="1" si="39"/>
        <v>0</v>
      </c>
      <c r="L41" s="204"/>
      <c r="M41" s="207"/>
      <c r="N41" s="198"/>
      <c r="O41" s="123">
        <v>3</v>
      </c>
      <c r="P41" s="136"/>
      <c r="Q41" s="125" t="str">
        <f>IF(OR(R41="Preventivo",R41="Detectivo"),"Probabilidad",IF(R41="Correctivo","Impacto",""))</f>
        <v/>
      </c>
      <c r="R41" s="126"/>
      <c r="S41" s="126"/>
      <c r="T41" s="127" t="str">
        <f t="shared" si="40"/>
        <v/>
      </c>
      <c r="U41" s="126"/>
      <c r="V41" s="126"/>
      <c r="W41" s="126"/>
      <c r="X41" s="128" t="str">
        <f>IFERROR(IF(AND(Q40="Probabilidad",Q41="Probabilidad"),(Z40-(+Z40*T41)),IF(AND(Q40="Impacto",Q41="Probabilidad"),(Z39-(+Z39*T41)),IF(Q41="Impacto",Z40,""))),"")</f>
        <v/>
      </c>
      <c r="Y41" s="129" t="str">
        <f t="shared" si="1"/>
        <v/>
      </c>
      <c r="Z41" s="130" t="str">
        <f t="shared" si="41"/>
        <v/>
      </c>
      <c r="AA41" s="129" t="str">
        <f t="shared" si="3"/>
        <v/>
      </c>
      <c r="AB41" s="130" t="str">
        <f>IFERROR(IF(AND(Q40="Impacto",Q41="Impacto"),(AB40-(+AB40*T41)),IF(AND(Q40="Probabilidad",Q41="Impacto"),(AB39-(+AB39*T41)),IF(Q41="Probabilidad",AB40,""))),"")</f>
        <v/>
      </c>
      <c r="AC41" s="131" t="str">
        <f t="shared" si="42"/>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3"/>
      <c r="B42" s="192"/>
      <c r="C42" s="192"/>
      <c r="D42" s="192"/>
      <c r="E42" s="216"/>
      <c r="F42" s="192"/>
      <c r="G42" s="195"/>
      <c r="H42" s="204"/>
      <c r="I42" s="207"/>
      <c r="J42" s="210"/>
      <c r="K42" s="207">
        <f t="shared" ca="1" si="39"/>
        <v>0</v>
      </c>
      <c r="L42" s="204"/>
      <c r="M42" s="207"/>
      <c r="N42" s="198"/>
      <c r="O42" s="123">
        <v>4</v>
      </c>
      <c r="P42" s="124"/>
      <c r="Q42" s="125" t="str">
        <f t="shared" ref="Q42:Q44" si="43">IF(OR(R42="Preventivo",R42="Detectivo"),"Probabilidad",IF(R42="Correctivo","Impacto",""))</f>
        <v/>
      </c>
      <c r="R42" s="126"/>
      <c r="S42" s="126"/>
      <c r="T42" s="127" t="str">
        <f t="shared" si="40"/>
        <v/>
      </c>
      <c r="U42" s="126"/>
      <c r="V42" s="126"/>
      <c r="W42" s="126"/>
      <c r="X42" s="128" t="str">
        <f t="shared" ref="X42:X44" si="44">IFERROR(IF(AND(Q41="Probabilidad",Q42="Probabilidad"),(Z41-(+Z41*T42)),IF(AND(Q41="Impacto",Q42="Probabilidad"),(Z40-(+Z40*T42)),IF(Q42="Impacto",Z41,""))),"")</f>
        <v/>
      </c>
      <c r="Y42" s="129" t="str">
        <f t="shared" si="1"/>
        <v/>
      </c>
      <c r="Z42" s="130" t="str">
        <f t="shared" si="41"/>
        <v/>
      </c>
      <c r="AA42" s="129" t="str">
        <f t="shared" si="3"/>
        <v/>
      </c>
      <c r="AB42" s="130" t="str">
        <f t="shared" ref="AB42:AB44" si="45">IFERROR(IF(AND(Q41="Impacto",Q42="Impacto"),(AB41-(+AB41*T42)),IF(AND(Q41="Probabilidad",Q42="Impacto"),(AB40-(+AB40*T42)),IF(Q42="Probabilidad",AB41,""))),"")</f>
        <v/>
      </c>
      <c r="AC42" s="131" t="str">
        <f>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ca="1" si="39"/>
        <v>0</v>
      </c>
      <c r="L43" s="204"/>
      <c r="M43" s="207"/>
      <c r="N43" s="198"/>
      <c r="O43" s="123">
        <v>5</v>
      </c>
      <c r="P43" s="124"/>
      <c r="Q43" s="125" t="str">
        <f t="shared" si="43"/>
        <v/>
      </c>
      <c r="R43" s="126"/>
      <c r="S43" s="126"/>
      <c r="T43" s="127" t="str">
        <f t="shared" si="40"/>
        <v/>
      </c>
      <c r="U43" s="126"/>
      <c r="V43" s="126"/>
      <c r="W43" s="126"/>
      <c r="X43" s="128" t="str">
        <f t="shared" si="44"/>
        <v/>
      </c>
      <c r="Y43" s="129" t="str">
        <f t="shared" si="1"/>
        <v/>
      </c>
      <c r="Z43" s="130" t="str">
        <f t="shared" si="41"/>
        <v/>
      </c>
      <c r="AA43" s="129" t="str">
        <f t="shared" si="3"/>
        <v/>
      </c>
      <c r="AB43" s="130" t="str">
        <f t="shared" si="45"/>
        <v/>
      </c>
      <c r="AC43" s="131" t="str">
        <f t="shared" ref="AC43" si="46">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4"/>
      <c r="B44" s="193"/>
      <c r="C44" s="193"/>
      <c r="D44" s="193"/>
      <c r="E44" s="217"/>
      <c r="F44" s="193"/>
      <c r="G44" s="196"/>
      <c r="H44" s="205"/>
      <c r="I44" s="208"/>
      <c r="J44" s="211"/>
      <c r="K44" s="208">
        <f t="shared" ca="1" si="39"/>
        <v>0</v>
      </c>
      <c r="L44" s="205"/>
      <c r="M44" s="208"/>
      <c r="N44" s="199"/>
      <c r="O44" s="123">
        <v>6</v>
      </c>
      <c r="P44" s="124"/>
      <c r="Q44" s="125" t="str">
        <f t="shared" si="43"/>
        <v/>
      </c>
      <c r="R44" s="126"/>
      <c r="S44" s="126"/>
      <c r="T44" s="127" t="str">
        <f t="shared" si="40"/>
        <v/>
      </c>
      <c r="U44" s="126"/>
      <c r="V44" s="126"/>
      <c r="W44" s="126"/>
      <c r="X44" s="128" t="str">
        <f t="shared" si="44"/>
        <v/>
      </c>
      <c r="Y44" s="129" t="str">
        <f t="shared" si="1"/>
        <v/>
      </c>
      <c r="Z44" s="130" t="str">
        <f t="shared" si="41"/>
        <v/>
      </c>
      <c r="AA44" s="129" t="str">
        <f>IFERROR(IF(AB44="","",IF(AB44&lt;=0.2,"Leve",IF(AB44&lt;=0.4,"Menor",IF(AB44&lt;=0.6,"Moderado",IF(AB44&lt;=0.8,"Mayor","Catastrófico"))))),"")</f>
        <v/>
      </c>
      <c r="AB44" s="130" t="str">
        <f t="shared" si="45"/>
        <v/>
      </c>
      <c r="AC44" s="131" t="str">
        <f>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2">
        <v>7</v>
      </c>
      <c r="B45" s="191"/>
      <c r="C45" s="191"/>
      <c r="D45" s="191"/>
      <c r="E45" s="215"/>
      <c r="F45" s="191"/>
      <c r="G45" s="194"/>
      <c r="H45" s="203" t="str">
        <f>IF(G45&lt;=0,"",IF(G45&lt;=2,"Muy Baja",IF(G45&lt;=24,"Baja",IF(G45&lt;=500,"Media",IF(G45&lt;=5000,"Alta","Muy Alta")))))</f>
        <v/>
      </c>
      <c r="I45" s="206" t="str">
        <f>IF(H45="","",IF(H45="Muy Baja",0.2,IF(H45="Baja",0.4,IF(H45="Media",0.6,IF(H45="Alta",0.8,IF(H45="Muy Alta",1,))))))</f>
        <v/>
      </c>
      <c r="J45" s="209"/>
      <c r="K45" s="206">
        <f ca="1">IF(NOT(ISERROR(MATCH(J45,'Tabla Impacto'!$B$221:$B$223,0))),'Tabla Impacto'!$F$223&amp;"Por favor no seleccionar los criterios de impacto(Afectación Económica o presupuestal y Pérdida Reputacional)",J45)</f>
        <v>0</v>
      </c>
      <c r="L45" s="203" t="str">
        <f ca="1">IF(OR(K45='Tabla Impacto'!$C$11,K45='Tabla Impacto'!$D$11),"Leve",IF(OR(K45='Tabla Impacto'!$C$12,K45='Tabla Impacto'!$D$12),"Menor",IF(OR(K45='Tabla Impacto'!$C$13,K45='Tabla Impacto'!$D$13),"Moderado",IF(OR(K45='Tabla Impacto'!$C$14,K45='Tabla Impacto'!$D$14),"Mayor",IF(OR(K45='Tabla Impacto'!$C$15,K45='Tabla Impacto'!$D$15),"Catastrófico","")))))</f>
        <v/>
      </c>
      <c r="M45" s="206" t="str">
        <f ca="1">IF(L45="","",IF(L45="Leve",0.2,IF(L45="Menor",0.4,IF(L45="Moderado",0.6,IF(L45="Mayor",0.8,IF(L45="Catastrófico",1,))))))</f>
        <v/>
      </c>
      <c r="N45" s="197" t="str">
        <f ca="1">IF(OR(AND(H45="Muy Baja",L45="Leve"),AND(H45="Muy Baja",L45="Menor"),AND(H45="Baja",L45="Leve")),"Bajo",IF(OR(AND(H45="Muy baja",L45="Moderado"),AND(H45="Baja",L45="Menor"),AND(H45="Baja",L45="Moderado"),AND(H45="Media",L45="Leve"),AND(H45="Media",L45="Menor"),AND(H45="Media",L45="Moderado"),AND(H45="Alta",L45="Leve"),AND(H45="Alta",L45="Menor")),"Moderado",IF(OR(AND(H45="Muy Baja",L45="Mayor"),AND(H45="Baja",L45="Mayor"),AND(H45="Media",L45="Mayor"),AND(H45="Alta",L45="Moderado"),AND(H45="Alta",L45="Mayor"),AND(H45="Muy Alta",L45="Leve"),AND(H45="Muy Alta",L45="Menor"),AND(H45="Muy Alta",L45="Moderado"),AND(H45="Muy Alta",L45="Mayor")),"Alto",IF(OR(AND(H45="Muy Baja",L45="Catastrófico"),AND(H45="Baja",L45="Catastrófico"),AND(H45="Media",L45="Catastrófico"),AND(H45="Alta",L45="Catastrófico"),AND(H45="Muy Alta",L45="Catastrófico")),"Extremo",""))))</f>
        <v/>
      </c>
      <c r="O45" s="123">
        <v>1</v>
      </c>
      <c r="P45" s="124"/>
      <c r="Q45" s="125" t="str">
        <f>IF(OR(R45="Preventivo",R45="Detectivo"),"Probabilidad",IF(R45="Correctivo","Impacto",""))</f>
        <v/>
      </c>
      <c r="R45" s="126"/>
      <c r="S45" s="126"/>
      <c r="T45" s="127" t="str">
        <f>IF(AND(R45="Preventivo",S45="Automático"),"50%",IF(AND(R45="Preventivo",S45="Manual"),"40%",IF(AND(R45="Detectivo",S45="Automático"),"40%",IF(AND(R45="Detectivo",S45="Manual"),"30%",IF(AND(R45="Correctivo",S45="Automático"),"35%",IF(AND(R45="Correctivo",S45="Manual"),"25%",""))))))</f>
        <v/>
      </c>
      <c r="U45" s="126"/>
      <c r="V45" s="126"/>
      <c r="W45" s="126"/>
      <c r="X45" s="128" t="str">
        <f>IFERROR(IF(Q45="Probabilidad",(I45-(+I45*T45)),IF(Q45="Impacto",I45,"")),"")</f>
        <v/>
      </c>
      <c r="Y45" s="129" t="str">
        <f>IFERROR(IF(X45="","",IF(X45&lt;=0.2,"Muy Baja",IF(X45&lt;=0.4,"Baja",IF(X45&lt;=0.6,"Media",IF(X45&lt;=0.8,"Alta","Muy Alta"))))),"")</f>
        <v/>
      </c>
      <c r="Z45" s="130" t="str">
        <f>+X45</f>
        <v/>
      </c>
      <c r="AA45" s="129" t="str">
        <f>IFERROR(IF(AB45="","",IF(AB45&lt;=0.2,"Leve",IF(AB45&lt;=0.4,"Menor",IF(AB45&lt;=0.6,"Moderado",IF(AB45&lt;=0.8,"Mayor","Catastrófico"))))),"")</f>
        <v/>
      </c>
      <c r="AB45" s="130" t="str">
        <f>IFERROR(IF(Q45="Impacto",(M45-(+M45*T45)),IF(Q45="Probabilidad",M45,"")),"")</f>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3"/>
      <c r="B46" s="192"/>
      <c r="C46" s="192"/>
      <c r="D46" s="192"/>
      <c r="E46" s="216"/>
      <c r="F46" s="192"/>
      <c r="G46" s="195"/>
      <c r="H46" s="204"/>
      <c r="I46" s="207"/>
      <c r="J46" s="210"/>
      <c r="K46" s="207">
        <f t="shared" ref="K46:K50" ca="1" si="47">IF(NOT(ISERROR(MATCH(J46,_xlfn.ANCHORARRAY(E57),0))),I59&amp;"Por favor no seleccionar los criterios de impacto",J46)</f>
        <v>0</v>
      </c>
      <c r="L46" s="204"/>
      <c r="M46" s="207"/>
      <c r="N46" s="198"/>
      <c r="O46" s="123">
        <v>2</v>
      </c>
      <c r="P46" s="124"/>
      <c r="Q46" s="125" t="str">
        <f>IF(OR(R46="Preventivo",R46="Detectivo"),"Probabilidad",IF(R46="Correctivo","Impacto",""))</f>
        <v/>
      </c>
      <c r="R46" s="126"/>
      <c r="S46" s="126"/>
      <c r="T46" s="127" t="str">
        <f t="shared" ref="T46:T50" si="48">IF(AND(R46="Preventivo",S46="Automático"),"50%",IF(AND(R46="Preventivo",S46="Manual"),"40%",IF(AND(R46="Detectivo",S46="Automático"),"40%",IF(AND(R46="Detectivo",S46="Manual"),"30%",IF(AND(R46="Correctivo",S46="Automático"),"35%",IF(AND(R46="Correctivo",S46="Manual"),"25%",""))))))</f>
        <v/>
      </c>
      <c r="U46" s="126"/>
      <c r="V46" s="126"/>
      <c r="W46" s="126"/>
      <c r="X46" s="128" t="str">
        <f>IFERROR(IF(AND(Q45="Probabilidad",Q46="Probabilidad"),(Z45-(+Z45*T46)),IF(Q46="Probabilidad",(I45-(+I45*T46)),IF(Q46="Impacto",Z45,""))),"")</f>
        <v/>
      </c>
      <c r="Y46" s="129" t="str">
        <f t="shared" si="1"/>
        <v/>
      </c>
      <c r="Z46" s="130" t="str">
        <f t="shared" ref="Z46:Z50" si="49">+X46</f>
        <v/>
      </c>
      <c r="AA46" s="129" t="str">
        <f t="shared" si="3"/>
        <v/>
      </c>
      <c r="AB46" s="130" t="str">
        <f>IFERROR(IF(AND(Q45="Impacto",Q46="Impacto"),(AB39-(+AB39*T46)),IF(Q46="Impacto",($M$45-(+$M$45*T46)),IF(Q46="Probabilidad",AB39,""))),"")</f>
        <v/>
      </c>
      <c r="AC46" s="131" t="str">
        <f t="shared" ref="AC46:AC47" si="50">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3"/>
      <c r="B47" s="192"/>
      <c r="C47" s="192"/>
      <c r="D47" s="192"/>
      <c r="E47" s="216"/>
      <c r="F47" s="192"/>
      <c r="G47" s="195"/>
      <c r="H47" s="204"/>
      <c r="I47" s="207"/>
      <c r="J47" s="210"/>
      <c r="K47" s="207">
        <f t="shared" ca="1" si="47"/>
        <v>0</v>
      </c>
      <c r="L47" s="204"/>
      <c r="M47" s="207"/>
      <c r="N47" s="198"/>
      <c r="O47" s="123">
        <v>3</v>
      </c>
      <c r="P47" s="136"/>
      <c r="Q47" s="125" t="str">
        <f>IF(OR(R47="Preventivo",R47="Detectivo"),"Probabilidad",IF(R47="Correctivo","Impacto",""))</f>
        <v/>
      </c>
      <c r="R47" s="126"/>
      <c r="S47" s="126"/>
      <c r="T47" s="127" t="str">
        <f t="shared" si="48"/>
        <v/>
      </c>
      <c r="U47" s="126"/>
      <c r="V47" s="126"/>
      <c r="W47" s="126"/>
      <c r="X47" s="128" t="str">
        <f>IFERROR(IF(AND(Q46="Probabilidad",Q47="Probabilidad"),(Z46-(+Z46*T47)),IF(AND(Q46="Impacto",Q47="Probabilidad"),(Z45-(+Z45*T47)),IF(Q47="Impacto",Z46,""))),"")</f>
        <v/>
      </c>
      <c r="Y47" s="129" t="str">
        <f t="shared" si="1"/>
        <v/>
      </c>
      <c r="Z47" s="130" t="str">
        <f t="shared" si="49"/>
        <v/>
      </c>
      <c r="AA47" s="129" t="str">
        <f t="shared" si="3"/>
        <v/>
      </c>
      <c r="AB47" s="130" t="str">
        <f>IFERROR(IF(AND(Q46="Impacto",Q47="Impacto"),(AB46-(+AB46*T47)),IF(AND(Q46="Probabilidad",Q47="Impacto"),(AB45-(+AB45*T47)),IF(Q47="Probabilidad",AB46,""))),"")</f>
        <v/>
      </c>
      <c r="AC47" s="131" t="str">
        <f t="shared" si="50"/>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3"/>
      <c r="B48" s="192"/>
      <c r="C48" s="192"/>
      <c r="D48" s="192"/>
      <c r="E48" s="216"/>
      <c r="F48" s="192"/>
      <c r="G48" s="195"/>
      <c r="H48" s="204"/>
      <c r="I48" s="207"/>
      <c r="J48" s="210"/>
      <c r="K48" s="207">
        <f t="shared" ca="1" si="47"/>
        <v>0</v>
      </c>
      <c r="L48" s="204"/>
      <c r="M48" s="207"/>
      <c r="N48" s="198"/>
      <c r="O48" s="123">
        <v>4</v>
      </c>
      <c r="P48" s="124"/>
      <c r="Q48" s="125" t="str">
        <f t="shared" ref="Q48:Q50" si="51">IF(OR(R48="Preventivo",R48="Detectivo"),"Probabilidad",IF(R48="Correctivo","Impacto",""))</f>
        <v/>
      </c>
      <c r="R48" s="126"/>
      <c r="S48" s="126"/>
      <c r="T48" s="127" t="str">
        <f t="shared" si="48"/>
        <v/>
      </c>
      <c r="U48" s="126"/>
      <c r="V48" s="126"/>
      <c r="W48" s="126"/>
      <c r="X48" s="128" t="str">
        <f t="shared" ref="X48:X50" si="52">IFERROR(IF(AND(Q47="Probabilidad",Q48="Probabilidad"),(Z47-(+Z47*T48)),IF(AND(Q47="Impacto",Q48="Probabilidad"),(Z46-(+Z46*T48)),IF(Q48="Impacto",Z47,""))),"")</f>
        <v/>
      </c>
      <c r="Y48" s="129" t="str">
        <f t="shared" si="1"/>
        <v/>
      </c>
      <c r="Z48" s="130" t="str">
        <f t="shared" si="49"/>
        <v/>
      </c>
      <c r="AA48" s="129" t="str">
        <f t="shared" si="3"/>
        <v/>
      </c>
      <c r="AB48" s="130" t="str">
        <f t="shared" ref="AB48:AB50" si="53">IFERROR(IF(AND(Q47="Impacto",Q48="Impacto"),(AB47-(+AB47*T48)),IF(AND(Q47="Probabilidad",Q48="Impacto"),(AB46-(+AB46*T48)),IF(Q48="Probabilidad",AB47,""))),"")</f>
        <v/>
      </c>
      <c r="AC48" s="131" t="str">
        <f>IFERROR(IF(OR(AND(Y48="Muy Baja",AA48="Leve"),AND(Y48="Muy Baja",AA48="Menor"),AND(Y48="Baja",AA48="Leve")),"Bajo",IF(OR(AND(Y48="Muy baja",AA48="Moderado"),AND(Y48="Baja",AA48="Menor"),AND(Y48="Baja",AA48="Moderado"),AND(Y48="Media",AA48="Leve"),AND(Y48="Media",AA48="Menor"),AND(Y48="Media",AA48="Moderado"),AND(Y48="Alta",AA48="Leve"),AND(Y48="Alta",AA48="Menor")),"Moderado",IF(OR(AND(Y48="Muy Baja",AA48="Mayor"),AND(Y48="Baja",AA48="Mayor"),AND(Y48="Media",AA48="Mayor"),AND(Y48="Alta",AA48="Moderado"),AND(Y48="Alta",AA48="Mayor"),AND(Y48="Muy Alta",AA48="Leve"),AND(Y48="Muy Alta",AA48="Menor"),AND(Y48="Muy Alta",AA48="Moderado"),AND(Y48="Muy Alta",AA48="Mayor")),"Alto",IF(OR(AND(Y48="Muy Baja",AA48="Catastrófico"),AND(Y48="Baja",AA48="Catastrófico"),AND(Y48="Media",AA48="Catastrófico"),AND(Y48="Alta",AA48="Catastrófico"),AND(Y48="Muy Alta",AA48="Catastrófico")),"Extremo","")))),"")</f>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t="shared" ca="1" si="47"/>
        <v>0</v>
      </c>
      <c r="L49" s="204"/>
      <c r="M49" s="207"/>
      <c r="N49" s="198"/>
      <c r="O49" s="123">
        <v>5</v>
      </c>
      <c r="P49" s="124"/>
      <c r="Q49" s="125" t="str">
        <f t="shared" si="51"/>
        <v/>
      </c>
      <c r="R49" s="126"/>
      <c r="S49" s="126"/>
      <c r="T49" s="127" t="str">
        <f t="shared" si="48"/>
        <v/>
      </c>
      <c r="U49" s="126"/>
      <c r="V49" s="126"/>
      <c r="W49" s="126"/>
      <c r="X49" s="128" t="str">
        <f t="shared" si="52"/>
        <v/>
      </c>
      <c r="Y49" s="129" t="str">
        <f t="shared" si="1"/>
        <v/>
      </c>
      <c r="Z49" s="130" t="str">
        <f t="shared" si="49"/>
        <v/>
      </c>
      <c r="AA49" s="129" t="str">
        <f t="shared" si="3"/>
        <v/>
      </c>
      <c r="AB49" s="130" t="str">
        <f t="shared" si="53"/>
        <v/>
      </c>
      <c r="AC49" s="131" t="str">
        <f t="shared" ref="AC49:AC50" si="54">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4"/>
      <c r="B50" s="193"/>
      <c r="C50" s="193"/>
      <c r="D50" s="193"/>
      <c r="E50" s="217"/>
      <c r="F50" s="193"/>
      <c r="G50" s="196"/>
      <c r="H50" s="205"/>
      <c r="I50" s="208"/>
      <c r="J50" s="211"/>
      <c r="K50" s="208">
        <f t="shared" ca="1" si="47"/>
        <v>0</v>
      </c>
      <c r="L50" s="205"/>
      <c r="M50" s="208"/>
      <c r="N50" s="199"/>
      <c r="O50" s="123">
        <v>6</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si="54"/>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2">
        <v>8</v>
      </c>
      <c r="B51" s="191"/>
      <c r="C51" s="191"/>
      <c r="D51" s="191"/>
      <c r="E51" s="215"/>
      <c r="F51" s="191"/>
      <c r="G51" s="194"/>
      <c r="H51" s="203" t="str">
        <f>IF(G51&lt;=0,"",IF(G51&lt;=2,"Muy Baja",IF(G51&lt;=24,"Baja",IF(G51&lt;=500,"Media",IF(G51&lt;=5000,"Alta","Muy Alta")))))</f>
        <v/>
      </c>
      <c r="I51" s="206" t="str">
        <f>IF(H51="","",IF(H51="Muy Baja",0.2,IF(H51="Baja",0.4,IF(H51="Media",0.6,IF(H51="Alta",0.8,IF(H51="Muy Alta",1,))))))</f>
        <v/>
      </c>
      <c r="J51" s="209"/>
      <c r="K51" s="206">
        <f ca="1">IF(NOT(ISERROR(MATCH(J51,'Tabla Impacto'!$B$221:$B$223,0))),'Tabla Impacto'!$F$223&amp;"Por favor no seleccionar los criterios de impacto(Afectación Económica o presupuestal y Pérdida Reputacional)",J51)</f>
        <v>0</v>
      </c>
      <c r="L51" s="203" t="str">
        <f ca="1">IF(OR(K51='Tabla Impacto'!$C$11,K51='Tabla Impacto'!$D$11),"Leve",IF(OR(K51='Tabla Impacto'!$C$12,K51='Tabla Impacto'!$D$12),"Menor",IF(OR(K51='Tabla Impacto'!$C$13,K51='Tabla Impacto'!$D$13),"Moderado",IF(OR(K51='Tabla Impacto'!$C$14,K51='Tabla Impacto'!$D$14),"Mayor",IF(OR(K51='Tabla Impacto'!$C$15,K51='Tabla Impacto'!$D$15),"Catastrófico","")))))</f>
        <v/>
      </c>
      <c r="M51" s="206" t="str">
        <f ca="1">IF(L51="","",IF(L51="Leve",0.2,IF(L51="Menor",0.4,IF(L51="Moderado",0.6,IF(L51="Mayor",0.8,IF(L51="Catastrófico",1,))))))</f>
        <v/>
      </c>
      <c r="N51" s="197" t="str">
        <f ca="1">IF(OR(AND(H51="Muy Baja",L51="Leve"),AND(H51="Muy Baja",L51="Menor"),AND(H51="Baja",L51="Leve")),"Bajo",IF(OR(AND(H51="Muy baja",L51="Moderado"),AND(H51="Baja",L51="Menor"),AND(H51="Baja",L51="Moderado"),AND(H51="Media",L51="Leve"),AND(H51="Media",L51="Menor"),AND(H51="Media",L51="Moderado"),AND(H51="Alta",L51="Leve"),AND(H51="Alta",L51="Menor")),"Moderado",IF(OR(AND(H51="Muy Baja",L51="Mayor"),AND(H51="Baja",L51="Mayor"),AND(H51="Media",L51="Mayor"),AND(H51="Alta",L51="Moderado"),AND(H51="Alta",L51="Mayor"),AND(H51="Muy Alta",L51="Leve"),AND(H51="Muy Alta",L51="Menor"),AND(H51="Muy Alta",L51="Moderado"),AND(H51="Muy Alta",L51="Mayor")),"Alto",IF(OR(AND(H51="Muy Baja",L51="Catastrófico"),AND(H51="Baja",L51="Catastrófico"),AND(H51="Media",L51="Catastrófico"),AND(H51="Alta",L51="Catastrófico"),AND(H51="Muy Alta",L51="Catastrófico")),"Extremo",""))))</f>
        <v/>
      </c>
      <c r="O51" s="123">
        <v>1</v>
      </c>
      <c r="P51" s="124"/>
      <c r="Q51" s="125" t="str">
        <f>IF(OR(R51="Preventivo",R51="Detectivo"),"Probabilidad",IF(R51="Correctivo","Impacto",""))</f>
        <v/>
      </c>
      <c r="R51" s="126"/>
      <c r="S51" s="126"/>
      <c r="T51" s="127" t="str">
        <f>IF(AND(R51="Preventivo",S51="Automático"),"50%",IF(AND(R51="Preventivo",S51="Manual"),"40%",IF(AND(R51="Detectivo",S51="Automático"),"40%",IF(AND(R51="Detectivo",S51="Manual"),"30%",IF(AND(R51="Correctivo",S51="Automático"),"35%",IF(AND(R51="Correctivo",S51="Manual"),"25%",""))))))</f>
        <v/>
      </c>
      <c r="U51" s="126"/>
      <c r="V51" s="126"/>
      <c r="W51" s="126"/>
      <c r="X51" s="128" t="str">
        <f>IFERROR(IF(Q51="Probabilidad",(I51-(+I51*T51)),IF(Q51="Impacto",I51,"")),"")</f>
        <v/>
      </c>
      <c r="Y51" s="129" t="str">
        <f>IFERROR(IF(X51="","",IF(X51&lt;=0.2,"Muy Baja",IF(X51&lt;=0.4,"Baja",IF(X51&lt;=0.6,"Media",IF(X51&lt;=0.8,"Alta","Muy Alta"))))),"")</f>
        <v/>
      </c>
      <c r="Z51" s="130" t="str">
        <f>+X51</f>
        <v/>
      </c>
      <c r="AA51" s="129" t="str">
        <f>IFERROR(IF(AB51="","",IF(AB51&lt;=0.2,"Leve",IF(AB51&lt;=0.4,"Menor",IF(AB51&lt;=0.6,"Moderado",IF(AB51&lt;=0.8,"Mayor","Catastrófico"))))),"")</f>
        <v/>
      </c>
      <c r="AB51" s="130" t="str">
        <f>IFERROR(IF(Q51="Impacto",(M51-(+M51*T51)),IF(Q51="Probabilidad",M51,"")),"")</f>
        <v/>
      </c>
      <c r="AC51" s="131" t="str">
        <f>IFERROR(IF(OR(AND(Y51="Muy Baja",AA51="Leve"),AND(Y51="Muy Baja",AA51="Menor"),AND(Y51="Baja",AA51="Leve")),"Bajo",IF(OR(AND(Y51="Muy baja",AA51="Moderado"),AND(Y51="Baja",AA51="Menor"),AND(Y51="Baja",AA51="Moderado"),AND(Y51="Media",AA51="Leve"),AND(Y51="Media",AA51="Menor"),AND(Y51="Media",AA51="Moderado"),AND(Y51="Alta",AA51="Leve"),AND(Y51="Alta",AA51="Menor")),"Moderado",IF(OR(AND(Y51="Muy Baja",AA51="Mayor"),AND(Y51="Baja",AA51="Mayor"),AND(Y51="Media",AA51="Mayor"),AND(Y51="Alta",AA51="Moderado"),AND(Y51="Alta",AA51="Mayor"),AND(Y51="Muy Alta",AA51="Leve"),AND(Y51="Muy Alta",AA51="Menor"),AND(Y51="Muy Alta",AA51="Moderado"),AND(Y51="Muy Alta",AA51="Mayor")),"Alto",IF(OR(AND(Y51="Muy Baja",AA51="Catastrófico"),AND(Y51="Baja",AA51="Catastrófico"),AND(Y51="Media",AA51="Catastrófico"),AND(Y51="Alta",AA51="Catastrófico"),AND(Y51="Muy Alta",AA51="Catastrófico")),"Extremo","")))),"")</f>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3"/>
      <c r="B52" s="192"/>
      <c r="C52" s="192"/>
      <c r="D52" s="192"/>
      <c r="E52" s="216"/>
      <c r="F52" s="192"/>
      <c r="G52" s="195"/>
      <c r="H52" s="204"/>
      <c r="I52" s="207"/>
      <c r="J52" s="210"/>
      <c r="K52" s="207">
        <f ca="1">IF(NOT(ISERROR(MATCH(J52,_xlfn.ANCHORARRAY(E63),0))),I65&amp;"Por favor no seleccionar los criterios de impacto",J52)</f>
        <v>0</v>
      </c>
      <c r="L52" s="204"/>
      <c r="M52" s="207"/>
      <c r="N52" s="198"/>
      <c r="O52" s="123">
        <v>2</v>
      </c>
      <c r="P52" s="124"/>
      <c r="Q52" s="125" t="str">
        <f>IF(OR(R52="Preventivo",R52="Detectivo"),"Probabilidad",IF(R52="Correctivo","Impacto",""))</f>
        <v/>
      </c>
      <c r="R52" s="126"/>
      <c r="S52" s="126"/>
      <c r="T52" s="127" t="str">
        <f t="shared" ref="T52:T56" si="55">IF(AND(R52="Preventivo",S52="Automático"),"50%",IF(AND(R52="Preventivo",S52="Manual"),"40%",IF(AND(R52="Detectivo",S52="Automático"),"40%",IF(AND(R52="Detectivo",S52="Manual"),"30%",IF(AND(R52="Correctivo",S52="Automático"),"35%",IF(AND(R52="Correctivo",S52="Manual"),"25%",""))))))</f>
        <v/>
      </c>
      <c r="U52" s="126"/>
      <c r="V52" s="126"/>
      <c r="W52" s="126"/>
      <c r="X52" s="128" t="str">
        <f>IFERROR(IF(AND(Q51="Probabilidad",Q52="Probabilidad"),(Z51-(+Z51*T52)),IF(Q52="Probabilidad",(I51-(+I51*T52)),IF(Q52="Impacto",Z51,""))),"")</f>
        <v/>
      </c>
      <c r="Y52" s="129" t="str">
        <f t="shared" si="1"/>
        <v/>
      </c>
      <c r="Z52" s="130" t="str">
        <f t="shared" ref="Z52:Z56" si="56">+X52</f>
        <v/>
      </c>
      <c r="AA52" s="129" t="str">
        <f t="shared" si="3"/>
        <v/>
      </c>
      <c r="AB52" s="130" t="str">
        <f>IFERROR(IF(AND(Q51="Impacto",Q52="Impacto"),(AB45-(+AB45*T52)),IF(Q52="Impacto",($M$51-(+$M$51*T52)),IF(Q52="Probabilidad",AB45,""))),"")</f>
        <v/>
      </c>
      <c r="AC52" s="131" t="str">
        <f t="shared" ref="AC52:AC53" si="57">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3"/>
      <c r="B53" s="192"/>
      <c r="C53" s="192"/>
      <c r="D53" s="192"/>
      <c r="E53" s="216"/>
      <c r="F53" s="192"/>
      <c r="G53" s="195"/>
      <c r="H53" s="204"/>
      <c r="I53" s="207"/>
      <c r="J53" s="210"/>
      <c r="K53" s="207">
        <f ca="1">IF(NOT(ISERROR(MATCH(J53,_xlfn.ANCHORARRAY(E64),0))),I66&amp;"Por favor no seleccionar los criterios de impacto",J53)</f>
        <v>0</v>
      </c>
      <c r="L53" s="204"/>
      <c r="M53" s="207"/>
      <c r="N53" s="198"/>
      <c r="O53" s="123">
        <v>3</v>
      </c>
      <c r="P53" s="136"/>
      <c r="Q53" s="125" t="str">
        <f>IF(OR(R53="Preventivo",R53="Detectivo"),"Probabilidad",IF(R53="Correctivo","Impacto",""))</f>
        <v/>
      </c>
      <c r="R53" s="126"/>
      <c r="S53" s="126"/>
      <c r="T53" s="127" t="str">
        <f t="shared" si="55"/>
        <v/>
      </c>
      <c r="U53" s="126"/>
      <c r="V53" s="126"/>
      <c r="W53" s="126"/>
      <c r="X53" s="128" t="str">
        <f>IFERROR(IF(AND(Q52="Probabilidad",Q53="Probabilidad"),(Z52-(+Z52*T53)),IF(AND(Q52="Impacto",Q53="Probabilidad"),(Z51-(+Z51*T53)),IF(Q53="Impacto",Z52,""))),"")</f>
        <v/>
      </c>
      <c r="Y53" s="129" t="str">
        <f t="shared" si="1"/>
        <v/>
      </c>
      <c r="Z53" s="130" t="str">
        <f t="shared" si="56"/>
        <v/>
      </c>
      <c r="AA53" s="129" t="str">
        <f t="shared" si="3"/>
        <v/>
      </c>
      <c r="AB53" s="130" t="str">
        <f>IFERROR(IF(AND(Q52="Impacto",Q53="Impacto"),(AB52-(+AB52*T53)),IF(AND(Q52="Probabilidad",Q53="Impacto"),(AB51-(+AB51*T53)),IF(Q53="Probabilidad",AB52,""))),"")</f>
        <v/>
      </c>
      <c r="AC53" s="131" t="str">
        <f t="shared" si="57"/>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3"/>
      <c r="B54" s="192"/>
      <c r="C54" s="192"/>
      <c r="D54" s="192"/>
      <c r="E54" s="216"/>
      <c r="F54" s="192"/>
      <c r="G54" s="195"/>
      <c r="H54" s="204"/>
      <c r="I54" s="207"/>
      <c r="J54" s="210"/>
      <c r="K54" s="207">
        <f ca="1">IF(NOT(ISERROR(MATCH(J54,_xlfn.ANCHORARRAY(E65),0))),I67&amp;"Por favor no seleccionar los criterios de impacto",J54)</f>
        <v>0</v>
      </c>
      <c r="L54" s="204"/>
      <c r="M54" s="207"/>
      <c r="N54" s="198"/>
      <c r="O54" s="123">
        <v>4</v>
      </c>
      <c r="P54" s="124"/>
      <c r="Q54" s="125" t="str">
        <f t="shared" ref="Q54:Q56" si="58">IF(OR(R54="Preventivo",R54="Detectivo"),"Probabilidad",IF(R54="Correctivo","Impacto",""))</f>
        <v/>
      </c>
      <c r="R54" s="126"/>
      <c r="S54" s="126"/>
      <c r="T54" s="127" t="str">
        <f t="shared" si="55"/>
        <v/>
      </c>
      <c r="U54" s="126"/>
      <c r="V54" s="126"/>
      <c r="W54" s="126"/>
      <c r="X54" s="128" t="str">
        <f t="shared" ref="X54:X56" si="59">IFERROR(IF(AND(Q53="Probabilidad",Q54="Probabilidad"),(Z53-(+Z53*T54)),IF(AND(Q53="Impacto",Q54="Probabilidad"),(Z52-(+Z52*T54)),IF(Q54="Impacto",Z53,""))),"")</f>
        <v/>
      </c>
      <c r="Y54" s="129" t="str">
        <f t="shared" si="1"/>
        <v/>
      </c>
      <c r="Z54" s="130" t="str">
        <f t="shared" si="56"/>
        <v/>
      </c>
      <c r="AA54" s="129" t="str">
        <f t="shared" si="3"/>
        <v/>
      </c>
      <c r="AB54" s="130" t="str">
        <f t="shared" ref="AB54:AB56" si="60">IFERROR(IF(AND(Q53="Impacto",Q54="Impacto"),(AB53-(+AB53*T54)),IF(AND(Q53="Probabilidad",Q54="Impacto"),(AB52-(+AB52*T54)),IF(Q54="Probabilidad",AB53,""))),"")</f>
        <v/>
      </c>
      <c r="AC54" s="131" t="str">
        <f>IFERROR(IF(OR(AND(Y54="Muy Baja",AA54="Leve"),AND(Y54="Muy Baja",AA54="Menor"),AND(Y54="Baja",AA54="Leve")),"Bajo",IF(OR(AND(Y54="Muy baja",AA54="Moderado"),AND(Y54="Baja",AA54="Menor"),AND(Y54="Baja",AA54="Moderado"),AND(Y54="Media",AA54="Leve"),AND(Y54="Media",AA54="Menor"),AND(Y54="Media",AA54="Moderado"),AND(Y54="Alta",AA54="Leve"),AND(Y54="Alta",AA54="Menor")),"Moderado",IF(OR(AND(Y54="Muy Baja",AA54="Mayor"),AND(Y54="Baja",AA54="Mayor"),AND(Y54="Media",AA54="Mayor"),AND(Y54="Alta",AA54="Moderado"),AND(Y54="Alta",AA54="Mayor"),AND(Y54="Muy Alta",AA54="Leve"),AND(Y54="Muy Alta",AA54="Menor"),AND(Y54="Muy Alta",AA54="Moderado"),AND(Y54="Muy Alta",AA54="Mayor")),"Alto",IF(OR(AND(Y54="Muy Baja",AA54="Catastrófico"),AND(Y54="Baja",AA54="Catastrófico"),AND(Y54="Media",AA54="Catastrófico"),AND(Y54="Alta",AA54="Catastrófico"),AND(Y54="Muy Alta",AA54="Catastrófico")),"Extremo","")))),"")</f>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5</v>
      </c>
      <c r="P55" s="124"/>
      <c r="Q55" s="125" t="str">
        <f t="shared" si="58"/>
        <v/>
      </c>
      <c r="R55" s="126"/>
      <c r="S55" s="126"/>
      <c r="T55" s="127" t="str">
        <f t="shared" si="55"/>
        <v/>
      </c>
      <c r="U55" s="126"/>
      <c r="V55" s="126"/>
      <c r="W55" s="126"/>
      <c r="X55" s="128" t="str">
        <f t="shared" si="59"/>
        <v/>
      </c>
      <c r="Y55" s="129" t="str">
        <f t="shared" si="1"/>
        <v/>
      </c>
      <c r="Z55" s="130" t="str">
        <f t="shared" si="56"/>
        <v/>
      </c>
      <c r="AA55" s="129" t="str">
        <f t="shared" si="3"/>
        <v/>
      </c>
      <c r="AB55" s="130" t="str">
        <f t="shared" si="60"/>
        <v/>
      </c>
      <c r="AC55" s="131" t="str">
        <f t="shared" ref="AC55:AC56" si="61">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4"/>
      <c r="B56" s="193"/>
      <c r="C56" s="193"/>
      <c r="D56" s="193"/>
      <c r="E56" s="217"/>
      <c r="F56" s="193"/>
      <c r="G56" s="196"/>
      <c r="H56" s="205"/>
      <c r="I56" s="208"/>
      <c r="J56" s="211"/>
      <c r="K56" s="208">
        <f ca="1">IF(NOT(ISERROR(MATCH(J56,_xlfn.ANCHORARRAY(E67),0))),I69&amp;"Por favor no seleccionar los criterios de impacto",J56)</f>
        <v>0</v>
      </c>
      <c r="L56" s="205"/>
      <c r="M56" s="208"/>
      <c r="N56" s="199"/>
      <c r="O56" s="123">
        <v>6</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si="61"/>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2">
        <v>9</v>
      </c>
      <c r="B57" s="191"/>
      <c r="C57" s="191"/>
      <c r="D57" s="191"/>
      <c r="E57" s="215"/>
      <c r="F57" s="191"/>
      <c r="G57" s="194"/>
      <c r="H57" s="203" t="str">
        <f>IF(G57&lt;=0,"",IF(G57&lt;=2,"Muy Baja",IF(G57&lt;=24,"Baja",IF(G57&lt;=500,"Media",IF(G57&lt;=5000,"Alta","Muy Alta")))))</f>
        <v/>
      </c>
      <c r="I57" s="206" t="str">
        <f>IF(H57="","",IF(H57="Muy Baja",0.2,IF(H57="Baja",0.4,IF(H57="Media",0.6,IF(H57="Alta",0.8,IF(H57="Muy Alta",1,))))))</f>
        <v/>
      </c>
      <c r="J57" s="209"/>
      <c r="K57" s="206">
        <f ca="1">IF(NOT(ISERROR(MATCH(J57,'Tabla Impacto'!$B$221:$B$223,0))),'Tabla Impacto'!$F$223&amp;"Por favor no seleccionar los criterios de impacto(Afectación Económica o presupuestal y Pérdida Reputacional)",J57)</f>
        <v>0</v>
      </c>
      <c r="L57" s="203" t="str">
        <f ca="1">IF(OR(K57='Tabla Impacto'!$C$11,K57='Tabla Impacto'!$D$11),"Leve",IF(OR(K57='Tabla Impacto'!$C$12,K57='Tabla Impacto'!$D$12),"Menor",IF(OR(K57='Tabla Impacto'!$C$13,K57='Tabla Impacto'!$D$13),"Moderado",IF(OR(K57='Tabla Impacto'!$C$14,K57='Tabla Impacto'!$D$14),"Mayor",IF(OR(K57='Tabla Impacto'!$C$15,K57='Tabla Impacto'!$D$15),"Catastrófico","")))))</f>
        <v/>
      </c>
      <c r="M57" s="206" t="str">
        <f ca="1">IF(L57="","",IF(L57="Leve",0.2,IF(L57="Menor",0.4,IF(L57="Moderado",0.6,IF(L57="Mayor",0.8,IF(L57="Catastrófico",1,))))))</f>
        <v/>
      </c>
      <c r="N57" s="197" t="str">
        <f ca="1">IF(OR(AND(H57="Muy Baja",L57="Leve"),AND(H57="Muy Baja",L57="Menor"),AND(H57="Baja",L57="Leve")),"Bajo",IF(OR(AND(H57="Muy baja",L57="Moderado"),AND(H57="Baja",L57="Menor"),AND(H57="Baja",L57="Moderado"),AND(H57="Media",L57="Leve"),AND(H57="Media",L57="Menor"),AND(H57="Media",L57="Moderado"),AND(H57="Alta",L57="Leve"),AND(H57="Alta",L57="Menor")),"Moderado",IF(OR(AND(H57="Muy Baja",L57="Mayor"),AND(H57="Baja",L57="Mayor"),AND(H57="Media",L57="Mayor"),AND(H57="Alta",L57="Moderado"),AND(H57="Alta",L57="Mayor"),AND(H57="Muy Alta",L57="Leve"),AND(H57="Muy Alta",L57="Menor"),AND(H57="Muy Alta",L57="Moderado"),AND(H57="Muy Alta",L57="Mayor")),"Alto",IF(OR(AND(H57="Muy Baja",L57="Catastrófico"),AND(H57="Baja",L57="Catastrófico"),AND(H57="Media",L57="Catastrófico"),AND(H57="Alta",L57="Catastrófico"),AND(H57="Muy Alta",L57="Catastrófico")),"Extremo",""))))</f>
        <v/>
      </c>
      <c r="O57" s="123">
        <v>1</v>
      </c>
      <c r="P57" s="124"/>
      <c r="Q57" s="125" t="str">
        <f>IF(OR(R57="Preventivo",R57="Detectivo"),"Probabilidad",IF(R57="Correctivo","Impacto",""))</f>
        <v/>
      </c>
      <c r="R57" s="126"/>
      <c r="S57" s="126"/>
      <c r="T57" s="127" t="str">
        <f>IF(AND(R57="Preventivo",S57="Automático"),"50%",IF(AND(R57="Preventivo",S57="Manual"),"40%",IF(AND(R57="Detectivo",S57="Automático"),"40%",IF(AND(R57="Detectivo",S57="Manual"),"30%",IF(AND(R57="Correctivo",S57="Automático"),"35%",IF(AND(R57="Correctivo",S57="Manual"),"25%",""))))))</f>
        <v/>
      </c>
      <c r="U57" s="126"/>
      <c r="V57" s="126"/>
      <c r="W57" s="126"/>
      <c r="X57" s="128" t="str">
        <f>IFERROR(IF(Q57="Probabilidad",(I57-(+I57*T57)),IF(Q57="Impacto",I57,"")),"")</f>
        <v/>
      </c>
      <c r="Y57" s="129" t="str">
        <f>IFERROR(IF(X57="","",IF(X57&lt;=0.2,"Muy Baja",IF(X57&lt;=0.4,"Baja",IF(X57&lt;=0.6,"Media",IF(X57&lt;=0.8,"Alta","Muy Alta"))))),"")</f>
        <v/>
      </c>
      <c r="Z57" s="130" t="str">
        <f>+X57</f>
        <v/>
      </c>
      <c r="AA57" s="129" t="str">
        <f>IFERROR(IF(AB57="","",IF(AB57&lt;=0.2,"Leve",IF(AB57&lt;=0.4,"Menor",IF(AB57&lt;=0.6,"Moderado",IF(AB57&lt;=0.8,"Mayor","Catastrófico"))))),"")</f>
        <v/>
      </c>
      <c r="AB57" s="130" t="str">
        <f>IFERROR(IF(Q57="Impacto",(M57-(+M57*T57)),IF(Q57="Probabilidad",M57,"")),"")</f>
        <v/>
      </c>
      <c r="AC57" s="131" t="str">
        <f>IFERROR(IF(OR(AND(Y57="Muy Baja",AA57="Leve"),AND(Y57="Muy Baja",AA57="Menor"),AND(Y57="Baja",AA57="Leve")),"Bajo",IF(OR(AND(Y57="Muy baja",AA57="Moderado"),AND(Y57="Baja",AA57="Menor"),AND(Y57="Baja",AA57="Moderado"),AND(Y57="Media",AA57="Leve"),AND(Y57="Media",AA57="Menor"),AND(Y57="Media",AA57="Moderado"),AND(Y57="Alta",AA57="Leve"),AND(Y57="Alta",AA57="Menor")),"Moderado",IF(OR(AND(Y57="Muy Baja",AA57="Mayor"),AND(Y57="Baja",AA57="Mayor"),AND(Y57="Media",AA57="Mayor"),AND(Y57="Alta",AA57="Moderado"),AND(Y57="Alta",AA57="Mayor"),AND(Y57="Muy Alta",AA57="Leve"),AND(Y57="Muy Alta",AA57="Menor"),AND(Y57="Muy Alta",AA57="Moderado"),AND(Y57="Muy Alta",AA57="Mayor")),"Alto",IF(OR(AND(Y57="Muy Baja",AA57="Catastrófico"),AND(Y57="Baja",AA57="Catastrófico"),AND(Y57="Media",AA57="Catastrófico"),AND(Y57="Alta",AA57="Catastrófico"),AND(Y57="Muy Alta",AA57="Catastrófico")),"Extremo","")))),"")</f>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3"/>
      <c r="B58" s="192"/>
      <c r="C58" s="192"/>
      <c r="D58" s="192"/>
      <c r="E58" s="216"/>
      <c r="F58" s="192"/>
      <c r="G58" s="195"/>
      <c r="H58" s="204"/>
      <c r="I58" s="207"/>
      <c r="J58" s="210"/>
      <c r="K58" s="207">
        <f ca="1">IF(NOT(ISERROR(MATCH(J58,_xlfn.ANCHORARRAY(E69),0))),I71&amp;"Por favor no seleccionar los criterios de impacto",J58)</f>
        <v>0</v>
      </c>
      <c r="L58" s="204"/>
      <c r="M58" s="207"/>
      <c r="N58" s="198"/>
      <c r="O58" s="123">
        <v>2</v>
      </c>
      <c r="P58" s="124"/>
      <c r="Q58" s="125" t="str">
        <f>IF(OR(R58="Preventivo",R58="Detectivo"),"Probabilidad",IF(R58="Correctivo","Impacto",""))</f>
        <v/>
      </c>
      <c r="R58" s="126"/>
      <c r="S58" s="126"/>
      <c r="T58" s="127" t="str">
        <f t="shared" ref="T58:T62" si="62">IF(AND(R58="Preventivo",S58="Automático"),"50%",IF(AND(R58="Preventivo",S58="Manual"),"40%",IF(AND(R58="Detectivo",S58="Automático"),"40%",IF(AND(R58="Detectivo",S58="Manual"),"30%",IF(AND(R58="Correctivo",S58="Automático"),"35%",IF(AND(R58="Correctivo",S58="Manual"),"25%",""))))))</f>
        <v/>
      </c>
      <c r="U58" s="126"/>
      <c r="V58" s="126"/>
      <c r="W58" s="126"/>
      <c r="X58" s="128" t="str">
        <f>IFERROR(IF(AND(Q57="Probabilidad",Q58="Probabilidad"),(Z57-(+Z57*T58)),IF(Q58="Probabilidad",(I57-(+I57*T58)),IF(Q58="Impacto",Z57,""))),"")</f>
        <v/>
      </c>
      <c r="Y58" s="129" t="str">
        <f t="shared" si="1"/>
        <v/>
      </c>
      <c r="Z58" s="130" t="str">
        <f t="shared" ref="Z58:Z62" si="63">+X58</f>
        <v/>
      </c>
      <c r="AA58" s="129" t="str">
        <f t="shared" si="3"/>
        <v/>
      </c>
      <c r="AB58" s="130" t="str">
        <f>IFERROR(IF(AND(Q57="Impacto",Q58="Impacto"),(AB51-(+AB51*T58)),IF(Q58="Impacto",($M$57-(+$M$57*T58)),IF(Q58="Probabilidad",AB51,""))),"")</f>
        <v/>
      </c>
      <c r="AC58" s="131" t="str">
        <f t="shared" ref="AC58:AC59" si="64">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3"/>
      <c r="B59" s="192"/>
      <c r="C59" s="192"/>
      <c r="D59" s="192"/>
      <c r="E59" s="216"/>
      <c r="F59" s="192"/>
      <c r="G59" s="195"/>
      <c r="H59" s="204"/>
      <c r="I59" s="207"/>
      <c r="J59" s="210"/>
      <c r="K59" s="207">
        <f ca="1">IF(NOT(ISERROR(MATCH(J59,_xlfn.ANCHORARRAY(E70),0))),I72&amp;"Por favor no seleccionar los criterios de impacto",J59)</f>
        <v>0</v>
      </c>
      <c r="L59" s="204"/>
      <c r="M59" s="207"/>
      <c r="N59" s="198"/>
      <c r="O59" s="123">
        <v>3</v>
      </c>
      <c r="P59" s="136"/>
      <c r="Q59" s="125" t="str">
        <f>IF(OR(R59="Preventivo",R59="Detectivo"),"Probabilidad",IF(R59="Correctivo","Impacto",""))</f>
        <v/>
      </c>
      <c r="R59" s="126"/>
      <c r="S59" s="126"/>
      <c r="T59" s="127" t="str">
        <f t="shared" si="62"/>
        <v/>
      </c>
      <c r="U59" s="126"/>
      <c r="V59" s="126"/>
      <c r="W59" s="126"/>
      <c r="X59" s="128" t="str">
        <f>IFERROR(IF(AND(Q58="Probabilidad",Q59="Probabilidad"),(Z58-(+Z58*T59)),IF(AND(Q58="Impacto",Q59="Probabilidad"),(Z57-(+Z57*T59)),IF(Q59="Impacto",Z58,""))),"")</f>
        <v/>
      </c>
      <c r="Y59" s="129" t="str">
        <f t="shared" si="1"/>
        <v/>
      </c>
      <c r="Z59" s="130" t="str">
        <f t="shared" si="63"/>
        <v/>
      </c>
      <c r="AA59" s="129" t="str">
        <f t="shared" si="3"/>
        <v/>
      </c>
      <c r="AB59" s="130" t="str">
        <f>IFERROR(IF(AND(Q58="Impacto",Q59="Impacto"),(AB58-(+AB58*T59)),IF(AND(Q58="Probabilidad",Q59="Impacto"),(AB57-(+AB57*T59)),IF(Q59="Probabilidad",AB58,""))),"")</f>
        <v/>
      </c>
      <c r="AC59" s="131" t="str">
        <f t="shared" si="64"/>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3"/>
      <c r="B60" s="192"/>
      <c r="C60" s="192"/>
      <c r="D60" s="192"/>
      <c r="E60" s="216"/>
      <c r="F60" s="192"/>
      <c r="G60" s="195"/>
      <c r="H60" s="204"/>
      <c r="I60" s="207"/>
      <c r="J60" s="210"/>
      <c r="K60" s="207">
        <f ca="1">IF(NOT(ISERROR(MATCH(J60,_xlfn.ANCHORARRAY(E71),0))),I73&amp;"Por favor no seleccionar los criterios de impacto",J60)</f>
        <v>0</v>
      </c>
      <c r="L60" s="204"/>
      <c r="M60" s="207"/>
      <c r="N60" s="198"/>
      <c r="O60" s="123">
        <v>4</v>
      </c>
      <c r="P60" s="124"/>
      <c r="Q60" s="125" t="str">
        <f t="shared" ref="Q60:Q62" si="65">IF(OR(R60="Preventivo",R60="Detectivo"),"Probabilidad",IF(R60="Correctivo","Impacto",""))</f>
        <v/>
      </c>
      <c r="R60" s="126"/>
      <c r="S60" s="126"/>
      <c r="T60" s="127" t="str">
        <f t="shared" si="62"/>
        <v/>
      </c>
      <c r="U60" s="126"/>
      <c r="V60" s="126"/>
      <c r="W60" s="126"/>
      <c r="X60" s="128" t="str">
        <f t="shared" ref="X60:X62" si="66">IFERROR(IF(AND(Q59="Probabilidad",Q60="Probabilidad"),(Z59-(+Z59*T60)),IF(AND(Q59="Impacto",Q60="Probabilidad"),(Z58-(+Z58*T60)),IF(Q60="Impacto",Z59,""))),"")</f>
        <v/>
      </c>
      <c r="Y60" s="129" t="str">
        <f t="shared" si="1"/>
        <v/>
      </c>
      <c r="Z60" s="130" t="str">
        <f t="shared" si="63"/>
        <v/>
      </c>
      <c r="AA60" s="129" t="str">
        <f t="shared" si="3"/>
        <v/>
      </c>
      <c r="AB60" s="130" t="str">
        <f t="shared" ref="AB60:AB62" si="67">IFERROR(IF(AND(Q59="Impacto",Q60="Impacto"),(AB59-(+AB59*T60)),IF(AND(Q59="Probabilidad",Q60="Impacto"),(AB58-(+AB58*T60)),IF(Q60="Probabilidad",AB59,""))),"")</f>
        <v/>
      </c>
      <c r="AC60" s="131" t="str">
        <f>IFERROR(IF(OR(AND(Y60="Muy Baja",AA60="Leve"),AND(Y60="Muy Baja",AA60="Menor"),AND(Y60="Baja",AA60="Leve")),"Bajo",IF(OR(AND(Y60="Muy baja",AA60="Moderado"),AND(Y60="Baja",AA60="Menor"),AND(Y60="Baja",AA60="Moderado"),AND(Y60="Media",AA60="Leve"),AND(Y60="Media",AA60="Menor"),AND(Y60="Media",AA60="Moderado"),AND(Y60="Alta",AA60="Leve"),AND(Y60="Alta",AA60="Menor")),"Moderado",IF(OR(AND(Y60="Muy Baja",AA60="Mayor"),AND(Y60="Baja",AA60="Mayor"),AND(Y60="Media",AA60="Mayor"),AND(Y60="Alta",AA60="Moderado"),AND(Y60="Alta",AA60="Mayor"),AND(Y60="Muy Alta",AA60="Leve"),AND(Y60="Muy Alta",AA60="Menor"),AND(Y60="Muy Alta",AA60="Moderado"),AND(Y60="Muy Alta",AA60="Mayor")),"Alto",IF(OR(AND(Y60="Muy Baja",AA60="Catastrófico"),AND(Y60="Baja",AA60="Catastrófico"),AND(Y60="Media",AA60="Catastrófico"),AND(Y60="Alta",AA60="Catastrófico"),AND(Y60="Muy Alta",AA60="Catastrófico")),"Extremo","")))),"")</f>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5</v>
      </c>
      <c r="P61" s="124"/>
      <c r="Q61" s="125" t="str">
        <f t="shared" si="65"/>
        <v/>
      </c>
      <c r="R61" s="126"/>
      <c r="S61" s="126"/>
      <c r="T61" s="127" t="str">
        <f t="shared" si="62"/>
        <v/>
      </c>
      <c r="U61" s="126"/>
      <c r="V61" s="126"/>
      <c r="W61" s="126"/>
      <c r="X61" s="128" t="str">
        <f t="shared" si="66"/>
        <v/>
      </c>
      <c r="Y61" s="129" t="str">
        <f t="shared" si="1"/>
        <v/>
      </c>
      <c r="Z61" s="130" t="str">
        <f t="shared" si="63"/>
        <v/>
      </c>
      <c r="AA61" s="129" t="str">
        <f t="shared" si="3"/>
        <v/>
      </c>
      <c r="AB61" s="130" t="str">
        <f t="shared" si="67"/>
        <v/>
      </c>
      <c r="AC61" s="131" t="str">
        <f t="shared" ref="AC61:AC62" si="68">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4"/>
      <c r="B62" s="193"/>
      <c r="C62" s="193"/>
      <c r="D62" s="193"/>
      <c r="E62" s="217"/>
      <c r="F62" s="193"/>
      <c r="G62" s="196"/>
      <c r="H62" s="205"/>
      <c r="I62" s="208"/>
      <c r="J62" s="211"/>
      <c r="K62" s="208">
        <f ca="1">IF(NOT(ISERROR(MATCH(J62,_xlfn.ANCHORARRAY(E73),0))),I75&amp;"Por favor no seleccionar los criterios de impacto",J62)</f>
        <v>0</v>
      </c>
      <c r="L62" s="205"/>
      <c r="M62" s="208"/>
      <c r="N62" s="199"/>
      <c r="O62" s="123">
        <v>6</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si="68"/>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2">
        <v>10</v>
      </c>
      <c r="B63" s="191"/>
      <c r="C63" s="191"/>
      <c r="D63" s="191"/>
      <c r="E63" s="215"/>
      <c r="F63" s="191"/>
      <c r="G63" s="194"/>
      <c r="H63" s="203" t="str">
        <f>IF(G63&lt;=0,"",IF(G63&lt;=2,"Muy Baja",IF(G63&lt;=24,"Baja",IF(G63&lt;=500,"Media",IF(G63&lt;=5000,"Alta","Muy Alta")))))</f>
        <v/>
      </c>
      <c r="I63" s="206" t="str">
        <f>IF(H63="","",IF(H63="Muy Baja",0.2,IF(H63="Baja",0.4,IF(H63="Media",0.6,IF(H63="Alta",0.8,IF(H63="Muy Alta",1,))))))</f>
        <v/>
      </c>
      <c r="J63" s="209"/>
      <c r="K63" s="206">
        <f ca="1">IF(NOT(ISERROR(MATCH(J63,'Tabla Impacto'!$B$221:$B$223,0))),'Tabla Impacto'!$F$223&amp;"Por favor no seleccionar los criterios de impacto(Afectación Económica o presupuestal y Pérdida Reputacional)",J63)</f>
        <v>0</v>
      </c>
      <c r="L63" s="203" t="str">
        <f ca="1">IF(OR(K63='Tabla Impacto'!$C$11,K63='Tabla Impacto'!$D$11),"Leve",IF(OR(K63='Tabla Impacto'!$C$12,K63='Tabla Impacto'!$D$12),"Menor",IF(OR(K63='Tabla Impacto'!$C$13,K63='Tabla Impacto'!$D$13),"Moderado",IF(OR(K63='Tabla Impacto'!$C$14,K63='Tabla Impacto'!$D$14),"Mayor",IF(OR(K63='Tabla Impacto'!$C$15,K63='Tabla Impacto'!$D$15),"Catastrófico","")))))</f>
        <v/>
      </c>
      <c r="M63" s="206" t="str">
        <f ca="1">IF(L63="","",IF(L63="Leve",0.2,IF(L63="Menor",0.4,IF(L63="Moderado",0.6,IF(L63="Mayor",0.8,IF(L63="Catastrófico",1,))))))</f>
        <v/>
      </c>
      <c r="N63" s="197" t="str">
        <f ca="1">IF(OR(AND(H63="Muy Baja",L63="Leve"),AND(H63="Muy Baja",L63="Menor"),AND(H63="Baja",L63="Leve")),"Bajo",IF(OR(AND(H63="Muy baja",L63="Moderado"),AND(H63="Baja",L63="Menor"),AND(H63="Baja",L63="Moderado"),AND(H63="Media",L63="Leve"),AND(H63="Media",L63="Menor"),AND(H63="Media",L63="Moderado"),AND(H63="Alta",L63="Leve"),AND(H63="Alta",L63="Menor")),"Moderado",IF(OR(AND(H63="Muy Baja",L63="Mayor"),AND(H63="Baja",L63="Mayor"),AND(H63="Media",L63="Mayor"),AND(H63="Alta",L63="Moderado"),AND(H63="Alta",L63="Mayor"),AND(H63="Muy Alta",L63="Leve"),AND(H63="Muy Alta",L63="Menor"),AND(H63="Muy Alta",L63="Moderado"),AND(H63="Muy Alta",L63="Mayor")),"Alto",IF(OR(AND(H63="Muy Baja",L63="Catastrófico"),AND(H63="Baja",L63="Catastrófico"),AND(H63="Media",L63="Catastrófico"),AND(H63="Alta",L63="Catastrófico"),AND(H63="Muy Alta",L63="Catastrófico")),"Extremo",""))))</f>
        <v/>
      </c>
      <c r="O63" s="123">
        <v>1</v>
      </c>
      <c r="P63" s="124"/>
      <c r="Q63" s="125" t="str">
        <f>IF(OR(R63="Preventivo",R63="Detectivo"),"Probabilidad",IF(R63="Correctivo","Impacto",""))</f>
        <v/>
      </c>
      <c r="R63" s="126"/>
      <c r="S63" s="126"/>
      <c r="T63" s="127" t="str">
        <f>IF(AND(R63="Preventivo",S63="Automático"),"50%",IF(AND(R63="Preventivo",S63="Manual"),"40%",IF(AND(R63="Detectivo",S63="Automático"),"40%",IF(AND(R63="Detectivo",S63="Manual"),"30%",IF(AND(R63="Correctivo",S63="Automático"),"35%",IF(AND(R63="Correctivo",S63="Manual"),"25%",""))))))</f>
        <v/>
      </c>
      <c r="U63" s="126"/>
      <c r="V63" s="126"/>
      <c r="W63" s="126"/>
      <c r="X63" s="128" t="str">
        <f>IFERROR(IF(Q63="Probabilidad",(I63-(+I63*T63)),IF(Q63="Impacto",I63,"")),"")</f>
        <v/>
      </c>
      <c r="Y63" s="129" t="str">
        <f>IFERROR(IF(X63="","",IF(X63&lt;=0.2,"Muy Baja",IF(X63&lt;=0.4,"Baja",IF(X63&lt;=0.6,"Media",IF(X63&lt;=0.8,"Alta","Muy Alta"))))),"")</f>
        <v/>
      </c>
      <c r="Z63" s="130" t="str">
        <f>+X63</f>
        <v/>
      </c>
      <c r="AA63" s="129" t="str">
        <f>IFERROR(IF(AB63="","",IF(AB63&lt;=0.2,"Leve",IF(AB63&lt;=0.4,"Menor",IF(AB63&lt;=0.6,"Moderado",IF(AB63&lt;=0.8,"Mayor","Catastrófico"))))),"")</f>
        <v/>
      </c>
      <c r="AB63" s="130" t="str">
        <f>IFERROR(IF(Q63="Impacto",(M63-(+M63*T63)),IF(Q63="Probabilidad",M63,"")),"")</f>
        <v/>
      </c>
      <c r="AC63" s="131" t="str">
        <f>IFERROR(IF(OR(AND(Y63="Muy Baja",AA63="Leve"),AND(Y63="Muy Baja",AA63="Menor"),AND(Y63="Baja",AA63="Leve")),"Bajo",IF(OR(AND(Y63="Muy baja",AA63="Moderado"),AND(Y63="Baja",AA63="Menor"),AND(Y63="Baja",AA63="Moderado"),AND(Y63="Media",AA63="Leve"),AND(Y63="Media",AA63="Menor"),AND(Y63="Media",AA63="Moderado"),AND(Y63="Alta",AA63="Leve"),AND(Y63="Alta",AA63="Menor")),"Moderado",IF(OR(AND(Y63="Muy Baja",AA63="Mayor"),AND(Y63="Baja",AA63="Mayor"),AND(Y63="Media",AA63="Mayor"),AND(Y63="Alta",AA63="Moderado"),AND(Y63="Alta",AA63="Mayor"),AND(Y63="Muy Alta",AA63="Leve"),AND(Y63="Muy Alta",AA63="Menor"),AND(Y63="Muy Alta",AA63="Moderado"),AND(Y63="Muy Alta",AA63="Mayor")),"Alto",IF(OR(AND(Y63="Muy Baja",AA63="Catastrófico"),AND(Y63="Baja",AA63="Catastrófico"),AND(Y63="Media",AA63="Catastrófico"),AND(Y63="Alta",AA63="Catastrófico"),AND(Y63="Muy Alta",AA63="Catastrófico")),"Extremo","")))),"")</f>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3"/>
      <c r="B64" s="192"/>
      <c r="C64" s="192"/>
      <c r="D64" s="192"/>
      <c r="E64" s="216"/>
      <c r="F64" s="192"/>
      <c r="G64" s="195"/>
      <c r="H64" s="204"/>
      <c r="I64" s="207"/>
      <c r="J64" s="210"/>
      <c r="K64" s="207">
        <f ca="1">IF(NOT(ISERROR(MATCH(J64,_xlfn.ANCHORARRAY(E75),0))),I77&amp;"Por favor no seleccionar los criterios de impacto",J64)</f>
        <v>0</v>
      </c>
      <c r="L64" s="204"/>
      <c r="M64" s="207"/>
      <c r="N64" s="198"/>
      <c r="O64" s="123">
        <v>2</v>
      </c>
      <c r="P64" s="124"/>
      <c r="Q64" s="125" t="str">
        <f>IF(OR(R64="Preventivo",R64="Detectivo"),"Probabilidad",IF(R64="Correctivo","Impacto",""))</f>
        <v/>
      </c>
      <c r="R64" s="126"/>
      <c r="S64" s="126"/>
      <c r="T64" s="127" t="str">
        <f t="shared" ref="T64:T68" si="69">IF(AND(R64="Preventivo",S64="Automático"),"50%",IF(AND(R64="Preventivo",S64="Manual"),"40%",IF(AND(R64="Detectivo",S64="Automático"),"40%",IF(AND(R64="Detectivo",S64="Manual"),"30%",IF(AND(R64="Correctivo",S64="Automático"),"35%",IF(AND(R64="Correctivo",S64="Manual"),"25%",""))))))</f>
        <v/>
      </c>
      <c r="U64" s="126"/>
      <c r="V64" s="126"/>
      <c r="W64" s="126"/>
      <c r="X64" s="128" t="str">
        <f>IFERROR(IF(AND(Q63="Probabilidad",Q64="Probabilidad"),(Z63-(+Z63*T64)),IF(Q64="Probabilidad",(I63-(+I63*T64)),IF(Q64="Impacto",Z63,""))),"")</f>
        <v/>
      </c>
      <c r="Y64" s="129" t="str">
        <f t="shared" si="1"/>
        <v/>
      </c>
      <c r="Z64" s="130" t="str">
        <f t="shared" ref="Z64:Z68" si="70">+X64</f>
        <v/>
      </c>
      <c r="AA64" s="129" t="str">
        <f t="shared" si="3"/>
        <v/>
      </c>
      <c r="AB64" s="130" t="str">
        <f>IFERROR(IF(AND(Q63="Impacto",Q64="Impacto"),(AB57-(+AB57*T64)),IF(Q64="Impacto",($M$63-(+$M$63*T64)),IF(Q64="Probabilidad",AB57,""))),"")</f>
        <v/>
      </c>
      <c r="AC64" s="131" t="str">
        <f t="shared" ref="AC64:AC65" si="71">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row>
    <row r="65" spans="1:36" ht="151.5" customHeight="1" x14ac:dyDescent="0.3">
      <c r="A65" s="213"/>
      <c r="B65" s="192"/>
      <c r="C65" s="192"/>
      <c r="D65" s="192"/>
      <c r="E65" s="216"/>
      <c r="F65" s="192"/>
      <c r="G65" s="195"/>
      <c r="H65" s="204"/>
      <c r="I65" s="207"/>
      <c r="J65" s="210"/>
      <c r="K65" s="207">
        <f ca="1">IF(NOT(ISERROR(MATCH(J65,_xlfn.ANCHORARRAY(E76),0))),I78&amp;"Por favor no seleccionar los criterios de impacto",J65)</f>
        <v>0</v>
      </c>
      <c r="L65" s="204"/>
      <c r="M65" s="207"/>
      <c r="N65" s="198"/>
      <c r="O65" s="123">
        <v>3</v>
      </c>
      <c r="P65" s="136"/>
      <c r="Q65" s="125" t="str">
        <f>IF(OR(R65="Preventivo",R65="Detectivo"),"Probabilidad",IF(R65="Correctivo","Impacto",""))</f>
        <v/>
      </c>
      <c r="R65" s="126"/>
      <c r="S65" s="126"/>
      <c r="T65" s="127" t="str">
        <f t="shared" si="69"/>
        <v/>
      </c>
      <c r="U65" s="126"/>
      <c r="V65" s="126"/>
      <c r="W65" s="126"/>
      <c r="X65" s="128" t="str">
        <f>IFERROR(IF(AND(Q64="Probabilidad",Q65="Probabilidad"),(Z64-(+Z64*T65)),IF(AND(Q64="Impacto",Q65="Probabilidad"),(Z63-(+Z63*T65)),IF(Q65="Impacto",Z64,""))),"")</f>
        <v/>
      </c>
      <c r="Y65" s="129" t="str">
        <f t="shared" si="1"/>
        <v/>
      </c>
      <c r="Z65" s="130" t="str">
        <f t="shared" si="70"/>
        <v/>
      </c>
      <c r="AA65" s="129" t="str">
        <f t="shared" si="3"/>
        <v/>
      </c>
      <c r="AB65" s="130" t="str">
        <f>IFERROR(IF(AND(Q64="Impacto",Q65="Impacto"),(AB64-(+AB64*T65)),IF(AND(Q64="Probabilidad",Q65="Impacto"),(AB63-(+AB63*T65)),IF(Q65="Probabilidad",AB64,""))),"")</f>
        <v/>
      </c>
      <c r="AC65" s="131" t="str">
        <f t="shared" si="71"/>
        <v/>
      </c>
      <c r="AD65" s="132"/>
      <c r="AE65" s="133"/>
      <c r="AF65" s="134"/>
      <c r="AG65" s="135"/>
      <c r="AH65" s="135"/>
      <c r="AI65" s="133"/>
      <c r="AJ65" s="134"/>
    </row>
    <row r="66" spans="1:36" ht="151.5" customHeight="1" x14ac:dyDescent="0.3">
      <c r="A66" s="213"/>
      <c r="B66" s="192"/>
      <c r="C66" s="192"/>
      <c r="D66" s="192"/>
      <c r="E66" s="216"/>
      <c r="F66" s="192"/>
      <c r="G66" s="195"/>
      <c r="H66" s="204"/>
      <c r="I66" s="207"/>
      <c r="J66" s="210"/>
      <c r="K66" s="207">
        <f ca="1">IF(NOT(ISERROR(MATCH(J66,_xlfn.ANCHORARRAY(E77),0))),I79&amp;"Por favor no seleccionar los criterios de impacto",J66)</f>
        <v>0</v>
      </c>
      <c r="L66" s="204"/>
      <c r="M66" s="207"/>
      <c r="N66" s="198"/>
      <c r="O66" s="123">
        <v>4</v>
      </c>
      <c r="P66" s="124"/>
      <c r="Q66" s="125" t="str">
        <f t="shared" ref="Q66:Q68" si="72">IF(OR(R66="Preventivo",R66="Detectivo"),"Probabilidad",IF(R66="Correctivo","Impacto",""))</f>
        <v/>
      </c>
      <c r="R66" s="126"/>
      <c r="S66" s="126"/>
      <c r="T66" s="127" t="str">
        <f t="shared" si="69"/>
        <v/>
      </c>
      <c r="U66" s="126"/>
      <c r="V66" s="126"/>
      <c r="W66" s="126"/>
      <c r="X66" s="128" t="str">
        <f t="shared" ref="X66:X68" si="73">IFERROR(IF(AND(Q65="Probabilidad",Q66="Probabilidad"),(Z65-(+Z65*T66)),IF(AND(Q65="Impacto",Q66="Probabilidad"),(Z64-(+Z64*T66)),IF(Q66="Impacto",Z65,""))),"")</f>
        <v/>
      </c>
      <c r="Y66" s="129" t="str">
        <f t="shared" si="1"/>
        <v/>
      </c>
      <c r="Z66" s="130" t="str">
        <f t="shared" si="70"/>
        <v/>
      </c>
      <c r="AA66" s="129" t="str">
        <f t="shared" si="3"/>
        <v/>
      </c>
      <c r="AB66" s="130" t="str">
        <f t="shared" ref="AB66:AB68" si="74">IFERROR(IF(AND(Q65="Impacto",Q66="Impacto"),(AB65-(+AB65*T66)),IF(AND(Q65="Probabilidad",Q66="Impacto"),(AB64-(+AB64*T66)),IF(Q66="Probabilidad",AB65,""))),"")</f>
        <v/>
      </c>
      <c r="AC66" s="131" t="str">
        <f>IFERROR(IF(OR(AND(Y66="Muy Baja",AA66="Leve"),AND(Y66="Muy Baja",AA66="Menor"),AND(Y66="Baja",AA66="Leve")),"Bajo",IF(OR(AND(Y66="Muy baja",AA66="Moderado"),AND(Y66="Baja",AA66="Menor"),AND(Y66="Baja",AA66="Moderado"),AND(Y66="Media",AA66="Leve"),AND(Y66="Media",AA66="Menor"),AND(Y66="Media",AA66="Moderado"),AND(Y66="Alta",AA66="Leve"),AND(Y66="Alta",AA66="Menor")),"Moderado",IF(OR(AND(Y66="Muy Baja",AA66="Mayor"),AND(Y66="Baja",AA66="Mayor"),AND(Y66="Media",AA66="Mayor"),AND(Y66="Alta",AA66="Moderado"),AND(Y66="Alta",AA66="Mayor"),AND(Y66="Muy Alta",AA66="Leve"),AND(Y66="Muy Alta",AA66="Menor"),AND(Y66="Muy Alta",AA66="Moderado"),AND(Y66="Muy Alta",AA66="Mayor")),"Alto",IF(OR(AND(Y66="Muy Baja",AA66="Catastrófico"),AND(Y66="Baja",AA66="Catastrófico"),AND(Y66="Media",AA66="Catastrófico"),AND(Y66="Alta",AA66="Catastrófico"),AND(Y66="Muy Alta",AA66="Catastrófico")),"Extremo","")))),"")</f>
        <v/>
      </c>
      <c r="AD66" s="132"/>
      <c r="AE66" s="133"/>
      <c r="AF66" s="134"/>
      <c r="AG66" s="135"/>
      <c r="AH66" s="135"/>
      <c r="AI66" s="133"/>
      <c r="AJ66" s="134"/>
    </row>
    <row r="67" spans="1:36" ht="151.5" customHeight="1" x14ac:dyDescent="0.3">
      <c r="A67" s="213"/>
      <c r="B67" s="192"/>
      <c r="C67" s="192"/>
      <c r="D67" s="192"/>
      <c r="E67" s="216"/>
      <c r="F67" s="192"/>
      <c r="G67" s="195"/>
      <c r="H67" s="204"/>
      <c r="I67" s="207"/>
      <c r="J67" s="210"/>
      <c r="K67" s="207">
        <f ca="1">IF(NOT(ISERROR(MATCH(J67,_xlfn.ANCHORARRAY(E78),0))),I80&amp;"Por favor no seleccionar los criterios de impacto",J67)</f>
        <v>0</v>
      </c>
      <c r="L67" s="204"/>
      <c r="M67" s="207"/>
      <c r="N67" s="198"/>
      <c r="O67" s="123">
        <v>5</v>
      </c>
      <c r="P67" s="124"/>
      <c r="Q67" s="125" t="str">
        <f t="shared" si="72"/>
        <v/>
      </c>
      <c r="R67" s="126"/>
      <c r="S67" s="126"/>
      <c r="T67" s="127" t="str">
        <f t="shared" si="69"/>
        <v/>
      </c>
      <c r="U67" s="126"/>
      <c r="V67" s="126"/>
      <c r="W67" s="126"/>
      <c r="X67" s="128" t="str">
        <f t="shared" si="73"/>
        <v/>
      </c>
      <c r="Y67" s="129" t="str">
        <f t="shared" si="1"/>
        <v/>
      </c>
      <c r="Z67" s="130" t="str">
        <f t="shared" si="70"/>
        <v/>
      </c>
      <c r="AA67" s="129" t="str">
        <f t="shared" si="3"/>
        <v/>
      </c>
      <c r="AB67" s="130" t="str">
        <f t="shared" si="74"/>
        <v/>
      </c>
      <c r="AC67" s="131" t="str">
        <f t="shared" ref="AC67:AC68" si="75">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4"/>
      <c r="B68" s="193"/>
      <c r="C68" s="193"/>
      <c r="D68" s="193"/>
      <c r="E68" s="217"/>
      <c r="F68" s="193"/>
      <c r="G68" s="196"/>
      <c r="H68" s="205"/>
      <c r="I68" s="208"/>
      <c r="J68" s="211"/>
      <c r="K68" s="208">
        <f ca="1">IF(NOT(ISERROR(MATCH(J68,_xlfn.ANCHORARRAY(E79),0))),I81&amp;"Por favor no seleccionar los criterios de impacto",J68)</f>
        <v>0</v>
      </c>
      <c r="L68" s="205"/>
      <c r="M68" s="208"/>
      <c r="N68" s="199"/>
      <c r="O68" s="123">
        <v>6</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si="75"/>
        <v/>
      </c>
      <c r="AD68" s="132"/>
      <c r="AE68" s="133"/>
      <c r="AF68" s="134"/>
      <c r="AG68" s="135"/>
      <c r="AH68" s="135"/>
      <c r="AI68" s="133"/>
      <c r="AJ68" s="134"/>
    </row>
    <row r="69" spans="1:36" ht="49.5" customHeight="1" x14ac:dyDescent="0.3">
      <c r="A69" s="6"/>
      <c r="B69" s="200" t="s">
        <v>131</v>
      </c>
      <c r="C69" s="201"/>
      <c r="D69" s="201"/>
      <c r="E69" s="201"/>
      <c r="F69" s="201"/>
      <c r="G69" s="201"/>
      <c r="H69" s="201"/>
      <c r="I69" s="201"/>
      <c r="J69" s="201"/>
      <c r="K69" s="201"/>
      <c r="L69" s="201"/>
      <c r="M69" s="201"/>
      <c r="N69" s="201"/>
      <c r="O69" s="201"/>
      <c r="P69" s="201"/>
      <c r="Q69" s="201"/>
      <c r="R69" s="201"/>
      <c r="S69" s="201"/>
      <c r="T69" s="201"/>
      <c r="U69" s="201"/>
      <c r="V69" s="201"/>
      <c r="W69" s="201"/>
      <c r="X69" s="201"/>
      <c r="Y69" s="201"/>
      <c r="Z69" s="201"/>
      <c r="AA69" s="201"/>
      <c r="AB69" s="201"/>
      <c r="AC69" s="201"/>
      <c r="AD69" s="201"/>
      <c r="AE69" s="201"/>
      <c r="AF69" s="201"/>
      <c r="AG69" s="201"/>
      <c r="AH69" s="201"/>
      <c r="AI69" s="201"/>
      <c r="AJ69" s="202"/>
    </row>
    <row r="71" spans="1:36" x14ac:dyDescent="0.3">
      <c r="A71" s="1"/>
      <c r="B71" s="24" t="s">
        <v>143</v>
      </c>
      <c r="C71" s="1"/>
      <c r="D71" s="1"/>
      <c r="F71" s="1"/>
    </row>
  </sheetData>
  <dataConsolidate/>
  <mergeCells count="185">
    <mergeCell ref="B69:AJ69"/>
    <mergeCell ref="I63:I68"/>
    <mergeCell ref="J63:J68"/>
    <mergeCell ref="K63:K68"/>
    <mergeCell ref="L63:L68"/>
    <mergeCell ref="M63:M68"/>
    <mergeCell ref="N63:N68"/>
    <mergeCell ref="M57:M62"/>
    <mergeCell ref="N57:N62"/>
    <mergeCell ref="I57:I62"/>
    <mergeCell ref="J57:J62"/>
    <mergeCell ref="K57:K62"/>
    <mergeCell ref="L57:L62"/>
    <mergeCell ref="A63:A68"/>
    <mergeCell ref="B63:B68"/>
    <mergeCell ref="C63:C68"/>
    <mergeCell ref="D63:D68"/>
    <mergeCell ref="E63:E68"/>
    <mergeCell ref="F63:F68"/>
    <mergeCell ref="G63:G68"/>
    <mergeCell ref="H63:H68"/>
    <mergeCell ref="G57:G62"/>
    <mergeCell ref="H57:H62"/>
    <mergeCell ref="A57:A62"/>
    <mergeCell ref="B57:B62"/>
    <mergeCell ref="C57:C62"/>
    <mergeCell ref="D57:D62"/>
    <mergeCell ref="E57:E62"/>
    <mergeCell ref="F57:F62"/>
    <mergeCell ref="I51:I56"/>
    <mergeCell ref="J51:J56"/>
    <mergeCell ref="K51:K56"/>
    <mergeCell ref="L51:L56"/>
    <mergeCell ref="M51:M56"/>
    <mergeCell ref="N51:N56"/>
    <mergeCell ref="M45:M50"/>
    <mergeCell ref="N45:N50"/>
    <mergeCell ref="A51:A56"/>
    <mergeCell ref="B51:B56"/>
    <mergeCell ref="C51:C56"/>
    <mergeCell ref="D51:D56"/>
    <mergeCell ref="E51:E56"/>
    <mergeCell ref="F51:F56"/>
    <mergeCell ref="G51:G56"/>
    <mergeCell ref="H51:H56"/>
    <mergeCell ref="G45:G50"/>
    <mergeCell ref="H45:H50"/>
    <mergeCell ref="I45:I50"/>
    <mergeCell ref="J45:J50"/>
    <mergeCell ref="K45:K50"/>
    <mergeCell ref="L45:L50"/>
    <mergeCell ref="A45:A50"/>
    <mergeCell ref="B45:B50"/>
    <mergeCell ref="C45:C50"/>
    <mergeCell ref="D45:D50"/>
    <mergeCell ref="E45:E50"/>
    <mergeCell ref="F45:F50"/>
    <mergeCell ref="I39:I44"/>
    <mergeCell ref="J39:J44"/>
    <mergeCell ref="K39:K44"/>
    <mergeCell ref="L39:L44"/>
    <mergeCell ref="M39:M44"/>
    <mergeCell ref="N39:N44"/>
    <mergeCell ref="M33:M38"/>
    <mergeCell ref="N33:N38"/>
    <mergeCell ref="A39:A44"/>
    <mergeCell ref="B39:B44"/>
    <mergeCell ref="C39:C44"/>
    <mergeCell ref="D39:D44"/>
    <mergeCell ref="E39:E44"/>
    <mergeCell ref="F39:F44"/>
    <mergeCell ref="G39:G44"/>
    <mergeCell ref="H39:H44"/>
    <mergeCell ref="G33:G38"/>
    <mergeCell ref="H33:H38"/>
    <mergeCell ref="I33:I38"/>
    <mergeCell ref="J33:J38"/>
    <mergeCell ref="K33:K38"/>
    <mergeCell ref="L33:L38"/>
    <mergeCell ref="A33:A38"/>
    <mergeCell ref="B33:B38"/>
    <mergeCell ref="C33:C38"/>
    <mergeCell ref="D33:D38"/>
    <mergeCell ref="E33:E38"/>
    <mergeCell ref="F33:F38"/>
    <mergeCell ref="I27:I32"/>
    <mergeCell ref="J27:J32"/>
    <mergeCell ref="K27:K32"/>
    <mergeCell ref="L27:L32"/>
    <mergeCell ref="M27:M32"/>
    <mergeCell ref="N27:N32"/>
    <mergeCell ref="M21:M26"/>
    <mergeCell ref="N21:N26"/>
    <mergeCell ref="A27:A32"/>
    <mergeCell ref="B27:B32"/>
    <mergeCell ref="C27:C32"/>
    <mergeCell ref="D27:D32"/>
    <mergeCell ref="E27:E32"/>
    <mergeCell ref="F27:F32"/>
    <mergeCell ref="G27:G32"/>
    <mergeCell ref="H27:H32"/>
    <mergeCell ref="G21:G26"/>
    <mergeCell ref="H21:H26"/>
    <mergeCell ref="I21:I26"/>
    <mergeCell ref="J21:J26"/>
    <mergeCell ref="K21:K26"/>
    <mergeCell ref="L21:L26"/>
    <mergeCell ref="A21:A26"/>
    <mergeCell ref="B21:B26"/>
    <mergeCell ref="C21:C26"/>
    <mergeCell ref="D21:D26"/>
    <mergeCell ref="E21:E26"/>
    <mergeCell ref="F21:F26"/>
    <mergeCell ref="I15:I20"/>
    <mergeCell ref="J15:J20"/>
    <mergeCell ref="K15:K20"/>
    <mergeCell ref="L15:L20"/>
    <mergeCell ref="M15:M20"/>
    <mergeCell ref="M10:M14"/>
    <mergeCell ref="N10:N14"/>
    <mergeCell ref="A15:A20"/>
    <mergeCell ref="B15:B20"/>
    <mergeCell ref="C15:C20"/>
    <mergeCell ref="D15:D20"/>
    <mergeCell ref="E15:E20"/>
    <mergeCell ref="F15:F20"/>
    <mergeCell ref="G15:G20"/>
    <mergeCell ref="H15:H20"/>
    <mergeCell ref="G10:G14"/>
    <mergeCell ref="H10:H14"/>
    <mergeCell ref="I10:I14"/>
    <mergeCell ref="J10:J14"/>
    <mergeCell ref="K10:K14"/>
    <mergeCell ref="L10:L14"/>
    <mergeCell ref="A10:A14"/>
    <mergeCell ref="B10:B14"/>
    <mergeCell ref="C10:C14"/>
    <mergeCell ref="D10:D14"/>
    <mergeCell ref="E10:E14"/>
    <mergeCell ref="F10:F14"/>
    <mergeCell ref="AB8:AB9"/>
    <mergeCell ref="AC8:AC9"/>
    <mergeCell ref="P8:P9"/>
    <mergeCell ref="Q8:Q9"/>
    <mergeCell ref="R8:W8"/>
    <mergeCell ref="X8:X9"/>
    <mergeCell ref="Y8:Y9"/>
    <mergeCell ref="Z8:Z9"/>
    <mergeCell ref="N15:N20"/>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5 Y10:Y68">
    <cfRule type="cellIs" dxfId="815" priority="101" operator="equal">
      <formula>"Muy Alta"</formula>
    </cfRule>
    <cfRule type="cellIs" dxfId="814" priority="102" operator="equal">
      <formula>"Alta"</formula>
    </cfRule>
    <cfRule type="cellIs" dxfId="813" priority="103" operator="equal">
      <formula>"Media"</formula>
    </cfRule>
    <cfRule type="cellIs" dxfId="812" priority="104" operator="equal">
      <formula>"Baja"</formula>
    </cfRule>
    <cfRule type="cellIs" dxfId="811" priority="105" operator="equal">
      <formula>"Muy Baja"</formula>
    </cfRule>
  </conditionalFormatting>
  <conditionalFormatting sqref="H21">
    <cfRule type="cellIs" dxfId="810" priority="83" operator="equal">
      <formula>"Muy Alta"</formula>
    </cfRule>
    <cfRule type="cellIs" dxfId="809" priority="84" operator="equal">
      <formula>"Alta"</formula>
    </cfRule>
    <cfRule type="cellIs" dxfId="808" priority="85" operator="equal">
      <formula>"Media"</formula>
    </cfRule>
    <cfRule type="cellIs" dxfId="807" priority="86" operator="equal">
      <formula>"Baja"</formula>
    </cfRule>
    <cfRule type="cellIs" dxfId="806" priority="87" operator="equal">
      <formula>"Muy Baja"</formula>
    </cfRule>
  </conditionalFormatting>
  <conditionalFormatting sqref="H27">
    <cfRule type="cellIs" dxfId="805" priority="74" operator="equal">
      <formula>"Muy Alta"</formula>
    </cfRule>
    <cfRule type="cellIs" dxfId="804" priority="75" operator="equal">
      <formula>"Alta"</formula>
    </cfRule>
    <cfRule type="cellIs" dxfId="803" priority="76" operator="equal">
      <formula>"Media"</formula>
    </cfRule>
    <cfRule type="cellIs" dxfId="802" priority="77" operator="equal">
      <formula>"Baja"</formula>
    </cfRule>
    <cfRule type="cellIs" dxfId="801" priority="78" operator="equal">
      <formula>"Muy Baja"</formula>
    </cfRule>
  </conditionalFormatting>
  <conditionalFormatting sqref="H33">
    <cfRule type="cellIs" dxfId="800" priority="65" operator="equal">
      <formula>"Muy Alta"</formula>
    </cfRule>
    <cfRule type="cellIs" dxfId="799" priority="66" operator="equal">
      <formula>"Alta"</formula>
    </cfRule>
    <cfRule type="cellIs" dxfId="798" priority="67" operator="equal">
      <formula>"Media"</formula>
    </cfRule>
    <cfRule type="cellIs" dxfId="797" priority="68" operator="equal">
      <formula>"Baja"</formula>
    </cfRule>
    <cfRule type="cellIs" dxfId="796" priority="69" operator="equal">
      <formula>"Muy Baja"</formula>
    </cfRule>
  </conditionalFormatting>
  <conditionalFormatting sqref="H39">
    <cfRule type="cellIs" dxfId="795" priority="56" operator="equal">
      <formula>"Muy Alta"</formula>
    </cfRule>
    <cfRule type="cellIs" dxfId="794" priority="57" operator="equal">
      <formula>"Alta"</formula>
    </cfRule>
    <cfRule type="cellIs" dxfId="793" priority="58" operator="equal">
      <formula>"Media"</formula>
    </cfRule>
    <cfRule type="cellIs" dxfId="792" priority="59" operator="equal">
      <formula>"Baja"</formula>
    </cfRule>
    <cfRule type="cellIs" dxfId="791" priority="60" operator="equal">
      <formula>"Muy Baja"</formula>
    </cfRule>
  </conditionalFormatting>
  <conditionalFormatting sqref="H45">
    <cfRule type="cellIs" dxfId="790" priority="47" operator="equal">
      <formula>"Muy Alta"</formula>
    </cfRule>
    <cfRule type="cellIs" dxfId="789" priority="48" operator="equal">
      <formula>"Alta"</formula>
    </cfRule>
    <cfRule type="cellIs" dxfId="788" priority="49" operator="equal">
      <formula>"Media"</formula>
    </cfRule>
    <cfRule type="cellIs" dxfId="787" priority="50" operator="equal">
      <formula>"Baja"</formula>
    </cfRule>
    <cfRule type="cellIs" dxfId="786" priority="51" operator="equal">
      <formula>"Muy Baja"</formula>
    </cfRule>
  </conditionalFormatting>
  <conditionalFormatting sqref="H51">
    <cfRule type="cellIs" dxfId="785" priority="38" operator="equal">
      <formula>"Muy Alta"</formula>
    </cfRule>
    <cfRule type="cellIs" dxfId="784" priority="39" operator="equal">
      <formula>"Alta"</formula>
    </cfRule>
    <cfRule type="cellIs" dxfId="783" priority="40" operator="equal">
      <formula>"Media"</formula>
    </cfRule>
    <cfRule type="cellIs" dxfId="782" priority="41" operator="equal">
      <formula>"Baja"</formula>
    </cfRule>
    <cfRule type="cellIs" dxfId="781" priority="42" operator="equal">
      <formula>"Muy Baja"</formula>
    </cfRule>
  </conditionalFormatting>
  <conditionalFormatting sqref="H57">
    <cfRule type="cellIs" dxfId="780" priority="29" operator="equal">
      <formula>"Muy Alta"</formula>
    </cfRule>
    <cfRule type="cellIs" dxfId="779" priority="30" operator="equal">
      <formula>"Alta"</formula>
    </cfRule>
    <cfRule type="cellIs" dxfId="778" priority="31" operator="equal">
      <formula>"Media"</formula>
    </cfRule>
    <cfRule type="cellIs" dxfId="777" priority="32" operator="equal">
      <formula>"Baja"</formula>
    </cfRule>
    <cfRule type="cellIs" dxfId="776" priority="33" operator="equal">
      <formula>"Muy Baja"</formula>
    </cfRule>
  </conditionalFormatting>
  <conditionalFormatting sqref="H63">
    <cfRule type="cellIs" dxfId="775" priority="20" operator="equal">
      <formula>"Muy Alta"</formula>
    </cfRule>
    <cfRule type="cellIs" dxfId="774" priority="21" operator="equal">
      <formula>"Alta"</formula>
    </cfRule>
    <cfRule type="cellIs" dxfId="773" priority="22" operator="equal">
      <formula>"Media"</formula>
    </cfRule>
    <cfRule type="cellIs" dxfId="772" priority="23" operator="equal">
      <formula>"Baja"</formula>
    </cfRule>
    <cfRule type="cellIs" dxfId="771" priority="24" operator="equal">
      <formula>"Muy Baja"</formula>
    </cfRule>
  </conditionalFormatting>
  <conditionalFormatting sqref="K10:K68">
    <cfRule type="containsText" dxfId="770" priority="1" operator="containsText" text="❌">
      <formula>NOT(ISERROR(SEARCH("❌",K10)))</formula>
    </cfRule>
  </conditionalFormatting>
  <conditionalFormatting sqref="L10 L15 L21 L27 L33 L39 L45 L51 L57 L63 AA10:AA68">
    <cfRule type="cellIs" dxfId="769" priority="96" operator="equal">
      <formula>"Catastrófico"</formula>
    </cfRule>
    <cfRule type="cellIs" dxfId="768" priority="97" operator="equal">
      <formula>"Mayor"</formula>
    </cfRule>
    <cfRule type="cellIs" dxfId="767" priority="98" operator="equal">
      <formula>"Moderado"</formula>
    </cfRule>
    <cfRule type="cellIs" dxfId="766" priority="99" operator="equal">
      <formula>"Menor"</formula>
    </cfRule>
    <cfRule type="cellIs" dxfId="765" priority="100" operator="equal">
      <formula>"Leve"</formula>
    </cfRule>
  </conditionalFormatting>
  <conditionalFormatting sqref="N10 AC10:AC68">
    <cfRule type="cellIs" dxfId="764" priority="92" operator="equal">
      <formula>"Extremo"</formula>
    </cfRule>
    <cfRule type="cellIs" dxfId="763" priority="93" operator="equal">
      <formula>"Alto"</formula>
    </cfRule>
    <cfRule type="cellIs" dxfId="762" priority="94" operator="equal">
      <formula>"Moderado"</formula>
    </cfRule>
    <cfRule type="cellIs" dxfId="761" priority="95" operator="equal">
      <formula>"Bajo"</formula>
    </cfRule>
  </conditionalFormatting>
  <conditionalFormatting sqref="N15">
    <cfRule type="cellIs" dxfId="760" priority="88" operator="equal">
      <formula>"Extremo"</formula>
    </cfRule>
    <cfRule type="cellIs" dxfId="759" priority="89" operator="equal">
      <formula>"Alto"</formula>
    </cfRule>
    <cfRule type="cellIs" dxfId="758" priority="90" operator="equal">
      <formula>"Moderado"</formula>
    </cfRule>
    <cfRule type="cellIs" dxfId="757" priority="91" operator="equal">
      <formula>"Bajo"</formula>
    </cfRule>
  </conditionalFormatting>
  <conditionalFormatting sqref="N21">
    <cfRule type="cellIs" dxfId="756" priority="79" operator="equal">
      <formula>"Extremo"</formula>
    </cfRule>
    <cfRule type="cellIs" dxfId="755" priority="80" operator="equal">
      <formula>"Alto"</formula>
    </cfRule>
    <cfRule type="cellIs" dxfId="754" priority="81" operator="equal">
      <formula>"Moderado"</formula>
    </cfRule>
    <cfRule type="cellIs" dxfId="753" priority="82" operator="equal">
      <formula>"Bajo"</formula>
    </cfRule>
  </conditionalFormatting>
  <conditionalFormatting sqref="N27">
    <cfRule type="cellIs" dxfId="752" priority="70" operator="equal">
      <formula>"Extremo"</formula>
    </cfRule>
    <cfRule type="cellIs" dxfId="751" priority="71" operator="equal">
      <formula>"Alto"</formula>
    </cfRule>
    <cfRule type="cellIs" dxfId="750" priority="72" operator="equal">
      <formula>"Moderado"</formula>
    </cfRule>
    <cfRule type="cellIs" dxfId="749" priority="73" operator="equal">
      <formula>"Bajo"</formula>
    </cfRule>
  </conditionalFormatting>
  <conditionalFormatting sqref="N33">
    <cfRule type="cellIs" dxfId="748" priority="61" operator="equal">
      <formula>"Extremo"</formula>
    </cfRule>
    <cfRule type="cellIs" dxfId="747" priority="62" operator="equal">
      <formula>"Alto"</formula>
    </cfRule>
    <cfRule type="cellIs" dxfId="746" priority="63" operator="equal">
      <formula>"Moderado"</formula>
    </cfRule>
    <cfRule type="cellIs" dxfId="745" priority="64" operator="equal">
      <formula>"Bajo"</formula>
    </cfRule>
  </conditionalFormatting>
  <conditionalFormatting sqref="N39">
    <cfRule type="cellIs" dxfId="744" priority="52" operator="equal">
      <formula>"Extremo"</formula>
    </cfRule>
    <cfRule type="cellIs" dxfId="743" priority="53" operator="equal">
      <formula>"Alto"</formula>
    </cfRule>
    <cfRule type="cellIs" dxfId="742" priority="54" operator="equal">
      <formula>"Moderado"</formula>
    </cfRule>
    <cfRule type="cellIs" dxfId="741" priority="55" operator="equal">
      <formula>"Bajo"</formula>
    </cfRule>
  </conditionalFormatting>
  <conditionalFormatting sqref="N45">
    <cfRule type="cellIs" dxfId="740" priority="43" operator="equal">
      <formula>"Extremo"</formula>
    </cfRule>
    <cfRule type="cellIs" dxfId="739" priority="44" operator="equal">
      <formula>"Alto"</formula>
    </cfRule>
    <cfRule type="cellIs" dxfId="738" priority="45" operator="equal">
      <formula>"Moderado"</formula>
    </cfRule>
    <cfRule type="cellIs" dxfId="737" priority="46" operator="equal">
      <formula>"Bajo"</formula>
    </cfRule>
  </conditionalFormatting>
  <conditionalFormatting sqref="N51">
    <cfRule type="cellIs" dxfId="736" priority="34" operator="equal">
      <formula>"Extremo"</formula>
    </cfRule>
    <cfRule type="cellIs" dxfId="735" priority="35" operator="equal">
      <formula>"Alto"</formula>
    </cfRule>
    <cfRule type="cellIs" dxfId="734" priority="36" operator="equal">
      <formula>"Moderado"</formula>
    </cfRule>
    <cfRule type="cellIs" dxfId="733" priority="37" operator="equal">
      <formula>"Bajo"</formula>
    </cfRule>
  </conditionalFormatting>
  <conditionalFormatting sqref="N57">
    <cfRule type="cellIs" dxfId="732" priority="25" operator="equal">
      <formula>"Extremo"</formula>
    </cfRule>
    <cfRule type="cellIs" dxfId="731" priority="26" operator="equal">
      <formula>"Alto"</formula>
    </cfRule>
    <cfRule type="cellIs" dxfId="730" priority="27" operator="equal">
      <formula>"Moderado"</formula>
    </cfRule>
    <cfRule type="cellIs" dxfId="729" priority="28" operator="equal">
      <formula>"Bajo"</formula>
    </cfRule>
  </conditionalFormatting>
  <conditionalFormatting sqref="N63">
    <cfRule type="cellIs" dxfId="728" priority="16" operator="equal">
      <formula>"Extremo"</formula>
    </cfRule>
    <cfRule type="cellIs" dxfId="727" priority="17" operator="equal">
      <formula>"Alto"</formula>
    </cfRule>
    <cfRule type="cellIs" dxfId="726" priority="18" operator="equal">
      <formula>"Moderado"</formula>
    </cfRule>
    <cfRule type="cellIs" dxfId="725" priority="19"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32C567B4-6BE8-4382-8DA4-776323DB9AFF}">
          <x14:formula1>
            <xm:f>'Opciones Tratamiento'!$B$9:$B$10</xm:f>
          </x14:formula1>
          <xm:sqref>AJ10 AJ12:AJ13 AJ15:AJ16 AJ18:AJ19 AJ21:AJ22 AJ24:AJ25 AJ27:AJ28 AJ30:AJ31 AJ33:AJ34 AJ36:AJ37 AJ39:AJ40 AJ42:AJ43 AJ45:AJ46 AJ48:AJ49 AJ51:AJ52 AJ54:AJ55 AJ57:AJ58 AJ60:AJ61 AJ63:AJ64 AJ66:AJ67</xm:sqref>
        </x14:dataValidation>
        <x14:dataValidation type="custom" allowBlank="1" showInputMessage="1" showErrorMessage="1" error="Recuerde que las acciones se generan bajo la medida de mitigar el riesgo" xr:uid="{E8F9EF26-4434-4D89-8960-F566C5143783}">
          <x14:formula1>
            <xm:f>IF(OR(AD10='Opciones Tratamiento'!$B$2,AD10='Opciones Tratamiento'!$B$3,AD10='Opciones Tratamiento'!$B$4),ISBLANK(AD10),ISTEXT(AD10))</xm:f>
          </x14:formula1>
          <xm:sqref>AI10:AI68</xm:sqref>
        </x14:dataValidation>
        <x14:dataValidation type="custom" allowBlank="1" showInputMessage="1" showErrorMessage="1" error="Recuerde que las acciones se generan bajo la medida de mitigar el riesgo" xr:uid="{94E7C3D5-6917-44D3-8ED8-25F23DABAE08}">
          <x14:formula1>
            <xm:f>IF(OR(AD10='Opciones Tratamiento'!$B$2,AD10='Opciones Tratamiento'!$B$3,AD10='Opciones Tratamiento'!$B$4),ISBLANK(AD10),ISTEXT(AD10))</xm:f>
          </x14:formula1>
          <xm:sqref>AH10:AH68</xm:sqref>
        </x14:dataValidation>
        <x14:dataValidation type="custom" allowBlank="1" showInputMessage="1" showErrorMessage="1" error="Recuerde que las acciones se generan bajo la medida de mitigar el riesgo" xr:uid="{27E78173-5254-4030-9306-DD1AA959C4BB}">
          <x14:formula1>
            <xm:f>IF(OR(AD10='Opciones Tratamiento'!$B$2,AD10='Opciones Tratamiento'!$B$3,AD10='Opciones Tratamiento'!$B$4),ISBLANK(AD10),ISTEXT(AD10))</xm:f>
          </x14:formula1>
          <xm:sqref>AG10:AG68</xm:sqref>
        </x14:dataValidation>
        <x14:dataValidation type="custom" allowBlank="1" showInputMessage="1" showErrorMessage="1" error="Recuerde que las acciones se generan bajo la medida de mitigar el riesgo" xr:uid="{1D9899E2-D887-4C08-9969-B7ABE34F80E7}">
          <x14:formula1>
            <xm:f>IF(OR(AD10='Opciones Tratamiento'!$B$2,AD10='Opciones Tratamiento'!$B$3,AD10='Opciones Tratamiento'!$B$4),ISBLANK(AD10),ISTEXT(AD10))</xm:f>
          </x14:formula1>
          <xm:sqref>AF10:AF68</xm:sqref>
        </x14:dataValidation>
        <x14:dataValidation type="custom" allowBlank="1" showInputMessage="1" showErrorMessage="1" error="Recuerde que las acciones se generan bajo la medida de mitigar el riesgo" xr:uid="{62A461E4-CC18-464C-A66E-313156A359F3}">
          <x14:formula1>
            <xm:f>IF(OR(AD10='Opciones Tratamiento'!$B$2,AD10='Opciones Tratamiento'!$B$3,AD10='Opciones Tratamiento'!$B$4),ISBLANK(AD10),ISTEXT(AD10))</xm:f>
          </x14:formula1>
          <xm:sqref>AE10:AE68</xm:sqref>
        </x14:dataValidation>
        <x14:dataValidation type="list" allowBlank="1" showInputMessage="1" showErrorMessage="1" xr:uid="{AA0A60EC-5C9E-48D9-9AA6-5A2BE55F2852}">
          <x14:formula1>
            <xm:f>'Tabla Impacto'!$F$210:$F$221</xm:f>
          </x14:formula1>
          <xm:sqref>J10:J68</xm:sqref>
        </x14:dataValidation>
        <x14:dataValidation type="list" allowBlank="1" showInputMessage="1" showErrorMessage="1" xr:uid="{FF0FE4FA-EC42-4A79-A23A-AB0630AE31CA}">
          <x14:formula1>
            <xm:f>'Opciones Tratamiento'!$B$2:$B$5</xm:f>
          </x14:formula1>
          <xm:sqref>AD10:AD68</xm:sqref>
        </x14:dataValidation>
        <x14:dataValidation type="list" allowBlank="1" showInputMessage="1" showErrorMessage="1" xr:uid="{9FFFB426-EF22-4AA5-82F8-75053E91BBD0}">
          <x14:formula1>
            <xm:f>'Opciones Tratamiento'!$E$2:$E$4</xm:f>
          </x14:formula1>
          <xm:sqref>B10:B68</xm:sqref>
        </x14:dataValidation>
        <x14:dataValidation type="list" allowBlank="1" showInputMessage="1" showErrorMessage="1" xr:uid="{355AF1A2-DCC3-42FC-A405-B9AF50EE3FCA}">
          <x14:formula1>
            <xm:f>'Opciones Tratamiento'!$B$13:$B$19</xm:f>
          </x14:formula1>
          <xm:sqref>F10:F68</xm:sqref>
        </x14:dataValidation>
        <x14:dataValidation type="list" allowBlank="1" showInputMessage="1" showErrorMessage="1" xr:uid="{1D7E76E1-0C84-49DE-AFDA-045836A94A60}">
          <x14:formula1>
            <xm:f>'Tabla Valoración controles'!$D$13:$D$14</xm:f>
          </x14:formula1>
          <xm:sqref>W10:W68</xm:sqref>
        </x14:dataValidation>
        <x14:dataValidation type="list" allowBlank="1" showInputMessage="1" showErrorMessage="1" xr:uid="{DDAF025B-3CA7-4E6E-85B5-D362D2E02EB6}">
          <x14:formula1>
            <xm:f>'Tabla Valoración controles'!$D$11:$D$12</xm:f>
          </x14:formula1>
          <xm:sqref>V10:V68</xm:sqref>
        </x14:dataValidation>
        <x14:dataValidation type="list" allowBlank="1" showInputMessage="1" showErrorMessage="1" xr:uid="{A3C17DA9-F87A-40E1-BA8F-462E0E95E3C0}">
          <x14:formula1>
            <xm:f>'Tabla Valoración controles'!$D$9:$D$10</xm:f>
          </x14:formula1>
          <xm:sqref>U10:U68</xm:sqref>
        </x14:dataValidation>
        <x14:dataValidation type="list" allowBlank="1" showInputMessage="1" showErrorMessage="1" xr:uid="{4ACAA52E-047C-42B0-8920-F7E21FDC138B}">
          <x14:formula1>
            <xm:f>'Tabla Valoración controles'!$D$7:$D$8</xm:f>
          </x14:formula1>
          <xm:sqref>S10:S68</xm:sqref>
        </x14:dataValidation>
        <x14:dataValidation type="list" allowBlank="1" showInputMessage="1" showErrorMessage="1" xr:uid="{A6CBA226-A967-466D-9FE4-AFCA4DECC406}">
          <x14:formula1>
            <xm:f>'Tabla Valoración controles'!$D$4:$D$6</xm:f>
          </x14:formula1>
          <xm:sqref>R10:R68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E4CE-ED73-4405-AD37-CBBE0FDB5D10}">
  <sheetPr>
    <tabColor rgb="FF7030A0"/>
  </sheetPr>
  <dimension ref="A1:BP68"/>
  <sheetViews>
    <sheetView topLeftCell="Q12" zoomScale="68" zoomScaleNormal="68" workbookViewId="0">
      <selection activeCell="F10" sqref="F10:F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0" t="s">
        <v>144</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2"/>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3"/>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5"/>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5" t="s">
        <v>43</v>
      </c>
      <c r="B4" s="236"/>
      <c r="C4" s="246" t="s">
        <v>345</v>
      </c>
      <c r="D4" s="247"/>
      <c r="E4" s="247"/>
      <c r="F4" s="247"/>
      <c r="G4" s="247"/>
      <c r="H4" s="247"/>
      <c r="I4" s="247"/>
      <c r="J4" s="247"/>
      <c r="K4" s="247"/>
      <c r="L4" s="247"/>
      <c r="M4" s="247"/>
      <c r="N4" s="248"/>
      <c r="O4" s="249"/>
      <c r="P4" s="249"/>
      <c r="Q4" s="249"/>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5" t="s">
        <v>130</v>
      </c>
      <c r="B5" s="236"/>
      <c r="C5" s="246" t="s">
        <v>344</v>
      </c>
      <c r="D5" s="247"/>
      <c r="E5" s="247"/>
      <c r="F5" s="247"/>
      <c r="G5" s="247"/>
      <c r="H5" s="247"/>
      <c r="I5" s="247"/>
      <c r="J5" s="247"/>
      <c r="K5" s="247"/>
      <c r="L5" s="247"/>
      <c r="M5" s="247"/>
      <c r="N5" s="24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5" t="s">
        <v>44</v>
      </c>
      <c r="B6" s="236"/>
      <c r="C6" s="237" t="s">
        <v>346</v>
      </c>
      <c r="D6" s="238"/>
      <c r="E6" s="238"/>
      <c r="F6" s="238"/>
      <c r="G6" s="238"/>
      <c r="H6" s="238"/>
      <c r="I6" s="238"/>
      <c r="J6" s="238"/>
      <c r="K6" s="238"/>
      <c r="L6" s="238"/>
      <c r="M6" s="238"/>
      <c r="N6" s="239"/>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27" t="s">
        <v>139</v>
      </c>
      <c r="B7" s="228"/>
      <c r="C7" s="228"/>
      <c r="D7" s="228"/>
      <c r="E7" s="228"/>
      <c r="F7" s="228"/>
      <c r="G7" s="229"/>
      <c r="H7" s="227" t="s">
        <v>140</v>
      </c>
      <c r="I7" s="228"/>
      <c r="J7" s="228"/>
      <c r="K7" s="228"/>
      <c r="L7" s="228"/>
      <c r="M7" s="228"/>
      <c r="N7" s="229"/>
      <c r="O7" s="227" t="s">
        <v>141</v>
      </c>
      <c r="P7" s="228"/>
      <c r="Q7" s="228"/>
      <c r="R7" s="228"/>
      <c r="S7" s="228"/>
      <c r="T7" s="228"/>
      <c r="U7" s="228"/>
      <c r="V7" s="228"/>
      <c r="W7" s="229"/>
      <c r="X7" s="227" t="s">
        <v>142</v>
      </c>
      <c r="Y7" s="228"/>
      <c r="Z7" s="228"/>
      <c r="AA7" s="228"/>
      <c r="AB7" s="228"/>
      <c r="AC7" s="228"/>
      <c r="AD7" s="229"/>
      <c r="AE7" s="227" t="s">
        <v>34</v>
      </c>
      <c r="AF7" s="228"/>
      <c r="AG7" s="228"/>
      <c r="AH7" s="228"/>
      <c r="AI7" s="228"/>
      <c r="AJ7" s="22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0" t="s">
        <v>0</v>
      </c>
      <c r="B8" s="232" t="s">
        <v>2</v>
      </c>
      <c r="C8" s="221" t="s">
        <v>3</v>
      </c>
      <c r="D8" s="221" t="s">
        <v>42</v>
      </c>
      <c r="E8" s="233" t="s">
        <v>1</v>
      </c>
      <c r="F8" s="220" t="s">
        <v>50</v>
      </c>
      <c r="G8" s="221" t="s">
        <v>135</v>
      </c>
      <c r="H8" s="234" t="s">
        <v>33</v>
      </c>
      <c r="I8" s="224" t="s">
        <v>5</v>
      </c>
      <c r="J8" s="220" t="s">
        <v>87</v>
      </c>
      <c r="K8" s="220" t="s">
        <v>92</v>
      </c>
      <c r="L8" s="222" t="s">
        <v>45</v>
      </c>
      <c r="M8" s="224" t="s">
        <v>5</v>
      </c>
      <c r="N8" s="221" t="s">
        <v>48</v>
      </c>
      <c r="O8" s="225" t="s">
        <v>11</v>
      </c>
      <c r="P8" s="219" t="s">
        <v>163</v>
      </c>
      <c r="Q8" s="220" t="s">
        <v>12</v>
      </c>
      <c r="R8" s="219" t="s">
        <v>8</v>
      </c>
      <c r="S8" s="219"/>
      <c r="T8" s="219"/>
      <c r="U8" s="219"/>
      <c r="V8" s="219"/>
      <c r="W8" s="219"/>
      <c r="X8" s="218" t="s">
        <v>138</v>
      </c>
      <c r="Y8" s="218" t="s">
        <v>46</v>
      </c>
      <c r="Z8" s="218" t="s">
        <v>5</v>
      </c>
      <c r="AA8" s="218" t="s">
        <v>47</v>
      </c>
      <c r="AB8" s="218" t="s">
        <v>5</v>
      </c>
      <c r="AC8" s="218" t="s">
        <v>49</v>
      </c>
      <c r="AD8" s="225" t="s">
        <v>29</v>
      </c>
      <c r="AE8" s="219" t="s">
        <v>34</v>
      </c>
      <c r="AF8" s="219" t="s">
        <v>35</v>
      </c>
      <c r="AG8" s="219" t="s">
        <v>36</v>
      </c>
      <c r="AH8" s="219" t="s">
        <v>38</v>
      </c>
      <c r="AI8" s="219" t="s">
        <v>37</v>
      </c>
      <c r="AJ8" s="219"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1"/>
      <c r="B9" s="232"/>
      <c r="C9" s="219"/>
      <c r="D9" s="219"/>
      <c r="E9" s="232"/>
      <c r="F9" s="221"/>
      <c r="G9" s="219"/>
      <c r="H9" s="221"/>
      <c r="I9" s="223"/>
      <c r="J9" s="221"/>
      <c r="K9" s="221"/>
      <c r="L9" s="223"/>
      <c r="M9" s="223"/>
      <c r="N9" s="219"/>
      <c r="O9" s="226"/>
      <c r="P9" s="219"/>
      <c r="Q9" s="221"/>
      <c r="R9" s="7" t="s">
        <v>13</v>
      </c>
      <c r="S9" s="7" t="s">
        <v>17</v>
      </c>
      <c r="T9" s="7" t="s">
        <v>28</v>
      </c>
      <c r="U9" s="7" t="s">
        <v>18</v>
      </c>
      <c r="V9" s="7" t="s">
        <v>21</v>
      </c>
      <c r="W9" s="7" t="s">
        <v>24</v>
      </c>
      <c r="X9" s="218"/>
      <c r="Y9" s="218"/>
      <c r="Z9" s="218"/>
      <c r="AA9" s="218"/>
      <c r="AB9" s="218"/>
      <c r="AC9" s="218"/>
      <c r="AD9" s="226"/>
      <c r="AE9" s="219"/>
      <c r="AF9" s="219"/>
      <c r="AG9" s="219"/>
      <c r="AH9" s="219"/>
      <c r="AI9" s="219"/>
      <c r="AJ9" s="219"/>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233.25" customHeight="1" x14ac:dyDescent="0.25">
      <c r="A10" s="212">
        <v>1</v>
      </c>
      <c r="B10" s="191" t="s">
        <v>134</v>
      </c>
      <c r="C10" s="191" t="s">
        <v>377</v>
      </c>
      <c r="D10" s="191" t="s">
        <v>231</v>
      </c>
      <c r="E10" s="215" t="s">
        <v>287</v>
      </c>
      <c r="F10" s="191" t="s">
        <v>123</v>
      </c>
      <c r="G10" s="194">
        <v>26</v>
      </c>
      <c r="H10" s="203" t="str">
        <f>IF(G10&lt;=0,"",IF(G10&lt;=2,"Muy Baja",IF(G10&lt;=24,"Baja",IF(G10&lt;=500,"Media",IF(G10&lt;=5000,"Alta","Muy Alta")))))</f>
        <v>Media</v>
      </c>
      <c r="I10" s="206">
        <f>IF(H10="","",IF(H10="Muy Baja",0.2,IF(H10="Baja",0.4,IF(H10="Media",0.6,IF(H10="Alta",0.8,IF(H10="Muy Alta",1,))))))</f>
        <v>0.6</v>
      </c>
      <c r="J10" s="209" t="s">
        <v>155</v>
      </c>
      <c r="K10" s="206"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03"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06">
        <f ca="1">IF(L10="","",IF(L10="Leve",0.2,IF(L10="Menor",0.4,IF(L10="Moderado",0.6,IF(L10="Mayor",0.8,IF(L10="Catastrófico",1,))))))</f>
        <v>0.6</v>
      </c>
      <c r="N10" s="197"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384</v>
      </c>
      <c r="AF10" s="133" t="s">
        <v>248</v>
      </c>
      <c r="AG10" s="135">
        <v>45291</v>
      </c>
      <c r="AH10" s="135">
        <v>45265</v>
      </c>
      <c r="AI10" s="133" t="s">
        <v>403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3"/>
      <c r="B11" s="192"/>
      <c r="C11" s="192"/>
      <c r="D11" s="192"/>
      <c r="E11" s="216"/>
      <c r="F11" s="192"/>
      <c r="G11" s="195"/>
      <c r="H11" s="204"/>
      <c r="I11" s="207"/>
      <c r="J11" s="210"/>
      <c r="K11" s="207">
        <f ca="1">IF(NOT(ISERROR(MATCH(J11,_xlfn.ANCHORARRAY(E18),0))),I20&amp;"Por favor no seleccionar los criterios de impacto",J11)</f>
        <v>0</v>
      </c>
      <c r="L11" s="204"/>
      <c r="M11" s="207"/>
      <c r="N11" s="198"/>
      <c r="O11" s="123">
        <v>2</v>
      </c>
      <c r="P11" s="124" t="s">
        <v>286</v>
      </c>
      <c r="Q11" s="125" t="str">
        <f>IF(OR(R11="Preventivo",R11="Detectivo"),"Probabilidad",IF(R11="Correctivo","Impacto",""))</f>
        <v>Probabilidad</v>
      </c>
      <c r="R11" s="126" t="s">
        <v>14</v>
      </c>
      <c r="S11" s="126" t="s">
        <v>9</v>
      </c>
      <c r="T11" s="127" t="str">
        <f t="shared" ref="T11"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0.216</v>
      </c>
      <c r="Y11" s="129" t="str">
        <f t="shared" ref="Y11:Y65" si="1">IFERROR(IF(X11="","",IF(X11&lt;=0.2,"Muy Baja",IF(X11&lt;=0.4,"Baja",IF(X11&lt;=0.6,"Media",IF(X11&lt;=0.8,"Alta","Muy Alta"))))),"")</f>
        <v>Baja</v>
      </c>
      <c r="Z11" s="130">
        <f t="shared" ref="Z11" si="2">+X11</f>
        <v>0.216</v>
      </c>
      <c r="AA11" s="129" t="str">
        <f t="shared" ref="AA11:AA65" ca="1" si="3">IFERROR(IF(AB11="","",IF(AB11&lt;=0.2,"Leve",IF(AB11&lt;=0.4,"Menor",IF(AB11&lt;=0.6,"Moderado",IF(AB11&lt;=0.8,"Mayor","Catastrófico"))))),"")</f>
        <v>Moderado</v>
      </c>
      <c r="AB11" s="130">
        <f ca="1">IFERROR(IF(AND(Q10="Impacto",Q11="Impacto"),(AB10-(+AB10*T11)),IF(Q11="Impacto",($M$10-(+$M$10*T11)),IF(Q11="Probabilidad",AB10,""))),"")</f>
        <v>0.6</v>
      </c>
      <c r="AC11" s="131" t="str">
        <f t="shared" ref="AC11"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385</v>
      </c>
      <c r="AF11" s="133" t="s">
        <v>249</v>
      </c>
      <c r="AG11" s="135">
        <v>45291</v>
      </c>
      <c r="AH11" s="135">
        <v>45265</v>
      </c>
      <c r="AI11" s="133" t="s">
        <v>404</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237" customHeight="1" x14ac:dyDescent="0.3">
      <c r="A12" s="212">
        <v>2</v>
      </c>
      <c r="B12" s="191" t="s">
        <v>132</v>
      </c>
      <c r="C12" s="191" t="s">
        <v>378</v>
      </c>
      <c r="D12" s="191" t="s">
        <v>380</v>
      </c>
      <c r="E12" s="215" t="s">
        <v>379</v>
      </c>
      <c r="F12" s="191" t="s">
        <v>123</v>
      </c>
      <c r="G12" s="252">
        <v>70</v>
      </c>
      <c r="H12" s="203" t="str">
        <f>IF(G12&lt;=0,"",IF(G12&lt;=2,"Muy Baja",IF(G12&lt;=24,"Baja",IF(G12&lt;=500,"Media",IF(G12&lt;=5000,"Alta","Muy Alta")))))</f>
        <v>Media</v>
      </c>
      <c r="I12" s="206">
        <f>IF(H12="","",IF(H12="Muy Baja",0.2,IF(H12="Baja",0.4,IF(H12="Media",0.6,IF(H12="Alta",0.8,IF(H12="Muy Alta",1,))))))</f>
        <v>0.6</v>
      </c>
      <c r="J12" s="209" t="s">
        <v>153</v>
      </c>
      <c r="K12" s="206" t="str">
        <f ca="1">IF(NOT(ISERROR(MATCH(J12,'Tabla Impacto'!$B$221:$B$223,0))),'Tabla Impacto'!$F$223&amp;"Por favor no seleccionar los criterios de impacto(Afectación Económica o presupuestal y Pérdida Reputacional)",J12)</f>
        <v xml:space="preserve">     El riesgo afecta la imagen de alguna área de la organización</v>
      </c>
      <c r="L12" s="203" t="str">
        <f ca="1">IF(OR(K12='Tabla Impacto'!$C$11,K12='Tabla Impacto'!$D$11),"Leve",IF(OR(K12='Tabla Impacto'!$C$12,K12='Tabla Impacto'!$D$12),"Menor",IF(OR(K12='Tabla Impacto'!$C$13,K12='Tabla Impacto'!$D$13),"Moderado",IF(OR(K12='Tabla Impacto'!$C$14,K12='Tabla Impacto'!$D$14),"Mayor",IF(OR(K12='Tabla Impacto'!$C$15,K12='Tabla Impacto'!$D$15),"Catastrófico","")))))</f>
        <v>Leve</v>
      </c>
      <c r="M12" s="206">
        <f ca="1">IF(L12="","",IF(L12="Leve",0.2,IF(L12="Menor",0.4,IF(L12="Moderado",0.6,IF(L12="Mayor",0.8,IF(L12="Catastrófico",1,))))))</f>
        <v>0.2</v>
      </c>
      <c r="N12" s="197" t="str">
        <f ca="1">IF(OR(AND(H12="Muy Baja",L12="Leve"),AND(H12="Muy Baja",L12="Menor"),AND(H12="Baja",L12="Leve")),"Bajo",IF(OR(AND(H12="Muy baja",L12="Moderado"),AND(H12="Baja",L12="Menor"),AND(H12="Baja",L12="Moderado"),AND(H12="Media",L12="Leve"),AND(H12="Media",L12="Menor"),AND(H12="Media",L12="Moderado"),AND(H12="Alta",L12="Leve"),AND(H12="Alta",L12="Menor")),"Moderado",IF(OR(AND(H12="Muy Baja",L12="Mayor"),AND(H12="Baja",L12="Mayor"),AND(H12="Media",L12="Mayor"),AND(H12="Alta",L12="Moderado"),AND(H12="Alta",L12="Mayor"),AND(H12="Muy Alta",L12="Leve"),AND(H12="Muy Alta",L12="Menor"),AND(H12="Muy Alta",L12="Moderado"),AND(H12="Muy Alta",L12="Mayor")),"Alto",IF(OR(AND(H12="Muy Baja",L12="Catastrófico"),AND(H12="Baja",L12="Catastrófico"),AND(H12="Media",L12="Catastrófico"),AND(H12="Alta",L12="Catastrófico"),AND(H12="Muy Alta",L12="Catastrófico")),"Extremo",""))))</f>
        <v>Moderado</v>
      </c>
      <c r="O12" s="123">
        <v>1</v>
      </c>
      <c r="P12" s="124" t="s">
        <v>382</v>
      </c>
      <c r="Q12" s="125" t="str">
        <f>IF(OR(R12="Preventivo",R12="Detectivo"),"Probabilidad",IF(R12="Correctivo","Impacto",""))</f>
        <v>Probabilidad</v>
      </c>
      <c r="R12" s="126" t="s">
        <v>14</v>
      </c>
      <c r="S12" s="126" t="s">
        <v>9</v>
      </c>
      <c r="T12" s="127" t="str">
        <f>IF(AND(R12="Preventivo",S12="Automático"),"50%",IF(AND(R12="Preventivo",S12="Manual"),"40%",IF(AND(R12="Detectivo",S12="Automático"),"40%",IF(AND(R12="Detectivo",S12="Manual"),"30%",IF(AND(R12="Correctivo",S12="Automático"),"35%",IF(AND(R12="Correctivo",S12="Manual"),"25%",""))))))</f>
        <v>40%</v>
      </c>
      <c r="U12" s="126" t="s">
        <v>19</v>
      </c>
      <c r="V12" s="126" t="s">
        <v>22</v>
      </c>
      <c r="W12" s="126" t="s">
        <v>119</v>
      </c>
      <c r="X12" s="128">
        <f>IFERROR(IF(Q12="Probabilidad",(I12-(+I12*T12)),IF(Q12="Impacto",I12,"")),"")</f>
        <v>0.36</v>
      </c>
      <c r="Y12" s="129" t="str">
        <f>IFERROR(IF(X12="","",IF(X12&lt;=0.2,"Muy Baja",IF(X12&lt;=0.4,"Baja",IF(X12&lt;=0.6,"Media",IF(X12&lt;=0.8,"Alta","Muy Alta"))))),"")</f>
        <v>Baja</v>
      </c>
      <c r="Z12" s="130">
        <f>+X12</f>
        <v>0.36</v>
      </c>
      <c r="AA12" s="129" t="str">
        <f ca="1">IFERROR(IF(AB12="","",IF(AB12&lt;=0.2,"Leve",IF(AB12&lt;=0.4,"Menor",IF(AB12&lt;=0.6,"Moderado",IF(AB12&lt;=0.8,"Mayor","Catastrófico"))))),"")</f>
        <v>Leve</v>
      </c>
      <c r="AB12" s="130">
        <f ca="1">IFERROR(IF(Q12="Impacto",(M12-(+M12*T12)),IF(Q12="Probabilidad",M12,"")),"")</f>
        <v>0.2</v>
      </c>
      <c r="AC12" s="131" t="str">
        <f ca="1">IFERROR(IF(OR(AND(Y12="Muy Baja",AA12="Leve"),AND(Y12="Muy Baja",AA12="Menor"),AND(Y12="Baja",AA12="Leve")),"Bajo",IF(OR(AND(Y12="Muy baja",AA12="Moderado"),AND(Y12="Baja",AA12="Menor"),AND(Y12="Baja",AA12="Moderado"),AND(Y12="Media",AA12="Leve"),AND(Y12="Media",AA12="Menor"),AND(Y12="Media",AA12="Moderado"),AND(Y12="Alta",AA12="Leve"),AND(Y12="Alta",AA12="Menor")),"Moderado",IF(OR(AND(Y12="Muy Baja",AA12="Mayor"),AND(Y12="Baja",AA12="Mayor"),AND(Y12="Media",AA12="Mayor"),AND(Y12="Alta",AA12="Moderado"),AND(Y12="Alta",AA12="Mayor"),AND(Y12="Muy Alta",AA12="Leve"),AND(Y12="Muy Alta",AA12="Menor"),AND(Y12="Muy Alta",AA12="Moderado"),AND(Y12="Muy Alta",AA12="Mayor")),"Alto",IF(OR(AND(Y12="Muy Baja",AA12="Catastrófico"),AND(Y12="Baja",AA12="Catastrófico"),AND(Y12="Media",AA12="Catastrófico"),AND(Y12="Alta",AA12="Catastrófico"),AND(Y12="Muy Alta",AA12="Catastrófico")),"Extremo","")))),"")</f>
        <v>Bajo</v>
      </c>
      <c r="AD12" s="132" t="s">
        <v>136</v>
      </c>
      <c r="AE12" s="133" t="s">
        <v>386</v>
      </c>
      <c r="AF12" s="133" t="s">
        <v>383</v>
      </c>
      <c r="AG12" s="139">
        <v>45291</v>
      </c>
      <c r="AH12" s="139">
        <v>45265</v>
      </c>
      <c r="AI12" s="140" t="s">
        <v>405</v>
      </c>
      <c r="AJ12" s="141"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3"/>
      <c r="B13" s="192"/>
      <c r="C13" s="192"/>
      <c r="D13" s="192"/>
      <c r="E13" s="216"/>
      <c r="F13" s="192"/>
      <c r="G13" s="253"/>
      <c r="H13" s="204"/>
      <c r="I13" s="207"/>
      <c r="J13" s="210"/>
      <c r="K13" s="207">
        <f ca="1">IF(NOT(ISERROR(MATCH(J13,_xlfn.ANCHORARRAY(E24),0))),I26&amp;"Por favor no seleccionar los criterios de impacto",J13)</f>
        <v>0</v>
      </c>
      <c r="L13" s="204"/>
      <c r="M13" s="207"/>
      <c r="N13" s="198"/>
      <c r="O13" s="123">
        <v>2</v>
      </c>
      <c r="P13" s="124"/>
      <c r="Q13" s="125" t="str">
        <f>IF(OR(R13="Preventivo",R13="Detectivo"),"Probabilidad",IF(R13="Correctivo","Impacto",""))</f>
        <v/>
      </c>
      <c r="R13" s="126"/>
      <c r="S13" s="126"/>
      <c r="T13" s="127" t="str">
        <f t="shared" ref="T13:T17" si="5">IF(AND(R13="Preventivo",S13="Automático"),"50%",IF(AND(R13="Preventivo",S13="Manual"),"40%",IF(AND(R13="Detectivo",S13="Automático"),"40%",IF(AND(R13="Detectivo",S13="Manual"),"30%",IF(AND(R13="Correctivo",S13="Automático"),"35%",IF(AND(R13="Correctivo",S13="Manual"),"25%",""))))))</f>
        <v/>
      </c>
      <c r="U13" s="126"/>
      <c r="V13" s="126"/>
      <c r="W13" s="126"/>
      <c r="X13" s="128" t="str">
        <f>IFERROR(IF(AND(Q12="Probabilidad",Q13="Probabilidad"),(Z12-(+Z12*T13)),IF(Q13="Probabilidad",(I12-(+I12*T13)),IF(Q13="Impacto",Z12,""))),"")</f>
        <v/>
      </c>
      <c r="Y13" s="129" t="str">
        <f t="shared" si="1"/>
        <v/>
      </c>
      <c r="Z13" s="130" t="str">
        <f t="shared" ref="Z13:Z17" si="6">+X13</f>
        <v/>
      </c>
      <c r="AA13" s="129" t="str">
        <f t="shared" si="3"/>
        <v/>
      </c>
      <c r="AB13" s="130" t="str">
        <f>IFERROR(IF(AND(Q12="Impacto",Q13="Impacto"),(AB10-(+AB10*T13)),IF(Q13="Impacto",($M$12-(+$M$12*T13)),IF(Q13="Probabilidad",AB10,""))),"")</f>
        <v/>
      </c>
      <c r="AC13" s="131" t="str">
        <f t="shared" ref="AC13:AC14" si="7">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3"/>
      <c r="B14" s="192"/>
      <c r="C14" s="192"/>
      <c r="D14" s="192"/>
      <c r="E14" s="216"/>
      <c r="F14" s="192"/>
      <c r="G14" s="253"/>
      <c r="H14" s="204"/>
      <c r="I14" s="207"/>
      <c r="J14" s="210"/>
      <c r="K14" s="207">
        <f ca="1">IF(NOT(ISERROR(MATCH(J14,_xlfn.ANCHORARRAY(E25),0))),I27&amp;"Por favor no seleccionar los criterios de impacto",J14)</f>
        <v>0</v>
      </c>
      <c r="L14" s="204"/>
      <c r="M14" s="207"/>
      <c r="N14" s="198"/>
      <c r="O14" s="123">
        <v>3</v>
      </c>
      <c r="P14" s="124"/>
      <c r="Q14" s="125" t="str">
        <f>IF(OR(R14="Preventivo",R14="Detectivo"),"Probabilidad",IF(R14="Correctivo","Impacto",""))</f>
        <v/>
      </c>
      <c r="R14" s="126"/>
      <c r="S14" s="126"/>
      <c r="T14" s="127" t="str">
        <f t="shared" si="5"/>
        <v/>
      </c>
      <c r="U14" s="126"/>
      <c r="V14" s="126"/>
      <c r="W14" s="126"/>
      <c r="X14" s="128" t="str">
        <f>IFERROR(IF(AND(Q13="Probabilidad",Q14="Probabilidad"),(Z13-(+Z13*T14)),IF(AND(Q13="Impacto",Q14="Probabilidad"),(Z12-(+Z12*T14)),IF(Q14="Impacto",Z13,""))),"")</f>
        <v/>
      </c>
      <c r="Y14" s="129" t="str">
        <f t="shared" si="1"/>
        <v/>
      </c>
      <c r="Z14" s="130" t="str">
        <f t="shared" si="6"/>
        <v/>
      </c>
      <c r="AA14" s="129" t="str">
        <f t="shared" si="3"/>
        <v/>
      </c>
      <c r="AB14" s="130" t="str">
        <f>IFERROR(IF(AND(Q13="Impacto",Q14="Impacto"),(AB13-(+AB13*T14)),IF(AND(Q13="Probabilidad",Q14="Impacto"),(AB12-(+AB12*T14)),IF(Q14="Probabilidad",AB13,""))),"")</f>
        <v/>
      </c>
      <c r="AC14" s="131" t="str">
        <f t="shared" si="7"/>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3"/>
      <c r="B15" s="192"/>
      <c r="C15" s="192"/>
      <c r="D15" s="192"/>
      <c r="E15" s="216"/>
      <c r="F15" s="192"/>
      <c r="G15" s="253"/>
      <c r="H15" s="204"/>
      <c r="I15" s="207"/>
      <c r="J15" s="210"/>
      <c r="K15" s="207">
        <f ca="1">IF(NOT(ISERROR(MATCH(J15,_xlfn.ANCHORARRAY(E26),0))),I28&amp;"Por favor no seleccionar los criterios de impacto",J15)</f>
        <v>0</v>
      </c>
      <c r="L15" s="204"/>
      <c r="M15" s="207"/>
      <c r="N15" s="198"/>
      <c r="O15" s="123">
        <v>4</v>
      </c>
      <c r="P15" s="136"/>
      <c r="Q15" s="125" t="str">
        <f t="shared" ref="Q15:Q17" si="8">IF(OR(R15="Preventivo",R15="Detectivo"),"Probabilidad",IF(R15="Correctivo","Impacto",""))</f>
        <v/>
      </c>
      <c r="R15" s="126"/>
      <c r="S15" s="126"/>
      <c r="T15" s="127" t="str">
        <f t="shared" si="5"/>
        <v/>
      </c>
      <c r="U15" s="126"/>
      <c r="V15" s="126"/>
      <c r="W15" s="126"/>
      <c r="X15" s="128" t="str">
        <f t="shared" ref="X15:X17" si="9">IFERROR(IF(AND(Q14="Probabilidad",Q15="Probabilidad"),(Z14-(+Z14*T15)),IF(AND(Q14="Impacto",Q15="Probabilidad"),(Z13-(+Z13*T15)),IF(Q15="Impacto",Z14,""))),"")</f>
        <v/>
      </c>
      <c r="Y15" s="129" t="str">
        <f t="shared" si="1"/>
        <v/>
      </c>
      <c r="Z15" s="130" t="str">
        <f t="shared" si="6"/>
        <v/>
      </c>
      <c r="AA15" s="129" t="str">
        <f t="shared" si="3"/>
        <v/>
      </c>
      <c r="AB15" s="130" t="str">
        <f t="shared" ref="AB15:AB17" si="10">IFERROR(IF(AND(Q14="Impacto",Q15="Impacto"),(AB14-(+AB14*T15)),IF(AND(Q14="Probabilidad",Q15="Impacto"),(AB13-(+AB13*T15)),IF(Q15="Probabilidad",AB14,""))),"")</f>
        <v/>
      </c>
      <c r="AC15" s="131" t="str">
        <f>IFERROR(IF(OR(AND(Y15="Muy Baja",AA15="Leve"),AND(Y15="Muy Baja",AA15="Menor"),AND(Y15="Baja",AA15="Leve")),"Bajo",IF(OR(AND(Y15="Muy baja",AA15="Moderado"),AND(Y15="Baja",AA15="Menor"),AND(Y15="Baja",AA15="Moderado"),AND(Y15="Media",AA15="Leve"),AND(Y15="Media",AA15="Menor"),AND(Y15="Media",AA15="Moderado"),AND(Y15="Alta",AA15="Leve"),AND(Y15="Alta",AA15="Menor")),"Moderado",IF(OR(AND(Y15="Muy Baja",AA15="Mayor"),AND(Y15="Baja",AA15="Mayor"),AND(Y15="Media",AA15="Mayor"),AND(Y15="Alta",AA15="Moderado"),AND(Y15="Alta",AA15="Mayor"),AND(Y15="Muy Alta",AA15="Leve"),AND(Y15="Muy Alta",AA15="Menor"),AND(Y15="Muy Alta",AA15="Moderado"),AND(Y15="Muy Alta",AA15="Mayor")),"Alto",IF(OR(AND(Y15="Muy Baja",AA15="Catastrófico"),AND(Y15="Baja",AA15="Catastrófico"),AND(Y15="Media",AA15="Catastrófico"),AND(Y15="Alta",AA15="Catastrófico"),AND(Y15="Muy Alta",AA15="Catastrófico")),"Extremo","")))),"")</f>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3"/>
      <c r="B16" s="192"/>
      <c r="C16" s="192"/>
      <c r="D16" s="192"/>
      <c r="E16" s="216"/>
      <c r="F16" s="192"/>
      <c r="G16" s="253"/>
      <c r="H16" s="204"/>
      <c r="I16" s="207"/>
      <c r="J16" s="210"/>
      <c r="K16" s="207">
        <f ca="1">IF(NOT(ISERROR(MATCH(J16,_xlfn.ANCHORARRAY(E27),0))),I29&amp;"Por favor no seleccionar los criterios de impacto",J16)</f>
        <v>0</v>
      </c>
      <c r="L16" s="204"/>
      <c r="M16" s="207"/>
      <c r="N16" s="198"/>
      <c r="O16" s="123">
        <v>5</v>
      </c>
      <c r="P16" s="124"/>
      <c r="Q16" s="125" t="str">
        <f t="shared" si="8"/>
        <v/>
      </c>
      <c r="R16" s="126"/>
      <c r="S16" s="126"/>
      <c r="T16" s="127" t="str">
        <f t="shared" si="5"/>
        <v/>
      </c>
      <c r="U16" s="126"/>
      <c r="V16" s="126"/>
      <c r="W16" s="126"/>
      <c r="X16" s="128" t="str">
        <f t="shared" si="9"/>
        <v/>
      </c>
      <c r="Y16" s="129" t="str">
        <f t="shared" si="1"/>
        <v/>
      </c>
      <c r="Z16" s="130" t="str">
        <f t="shared" si="6"/>
        <v/>
      </c>
      <c r="AA16" s="129" t="str">
        <f t="shared" si="3"/>
        <v/>
      </c>
      <c r="AB16" s="130" t="str">
        <f t="shared" si="10"/>
        <v/>
      </c>
      <c r="AC16" s="131" t="str">
        <f t="shared" ref="AC16:AC17" si="1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4"/>
      <c r="B17" s="193"/>
      <c r="C17" s="193"/>
      <c r="D17" s="193"/>
      <c r="E17" s="217"/>
      <c r="F17" s="193"/>
      <c r="G17" s="254"/>
      <c r="H17" s="205"/>
      <c r="I17" s="208"/>
      <c r="J17" s="211"/>
      <c r="K17" s="208">
        <f ca="1">IF(NOT(ISERROR(MATCH(J17,_xlfn.ANCHORARRAY(E28),0))),I30&amp;"Por favor no seleccionar los criterios de impacto",J17)</f>
        <v>0</v>
      </c>
      <c r="L17" s="205"/>
      <c r="M17" s="208"/>
      <c r="N17" s="199"/>
      <c r="O17" s="123">
        <v>6</v>
      </c>
      <c r="P17" s="124"/>
      <c r="Q17" s="125" t="str">
        <f t="shared" si="8"/>
        <v/>
      </c>
      <c r="R17" s="126"/>
      <c r="S17" s="126"/>
      <c r="T17" s="127" t="str">
        <f t="shared" si="5"/>
        <v/>
      </c>
      <c r="U17" s="126"/>
      <c r="V17" s="126"/>
      <c r="W17" s="126"/>
      <c r="X17" s="128" t="str">
        <f t="shared" si="9"/>
        <v/>
      </c>
      <c r="Y17" s="129" t="str">
        <f t="shared" si="1"/>
        <v/>
      </c>
      <c r="Z17" s="130" t="str">
        <f t="shared" si="6"/>
        <v/>
      </c>
      <c r="AA17" s="129" t="str">
        <f t="shared" si="3"/>
        <v/>
      </c>
      <c r="AB17" s="130" t="str">
        <f t="shared" si="10"/>
        <v/>
      </c>
      <c r="AC17" s="131" t="str">
        <f t="shared" si="11"/>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2">
        <v>3</v>
      </c>
      <c r="B18" s="191"/>
      <c r="C18" s="191"/>
      <c r="D18" s="191"/>
      <c r="E18" s="215"/>
      <c r="F18" s="191"/>
      <c r="G18" s="194"/>
      <c r="H18" s="203" t="str">
        <f>IF(G18&lt;=0,"",IF(G18&lt;=2,"Muy Baja",IF(G18&lt;=24,"Baja",IF(G18&lt;=500,"Media",IF(G18&lt;=5000,"Alta","Muy Alta")))))</f>
        <v/>
      </c>
      <c r="I18" s="206" t="str">
        <f>IF(H18="","",IF(H18="Muy Baja",0.2,IF(H18="Baja",0.4,IF(H18="Media",0.6,IF(H18="Alta",0.8,IF(H18="Muy Alta",1,))))))</f>
        <v/>
      </c>
      <c r="J18" s="209"/>
      <c r="K18" s="206">
        <f ca="1">IF(NOT(ISERROR(MATCH(J18,'Tabla Impacto'!$B$221:$B$223,0))),'Tabla Impacto'!$F$223&amp;"Por favor no seleccionar los criterios de impacto(Afectación Económica o presupuestal y Pérdida Reputacional)",J18)</f>
        <v>0</v>
      </c>
      <c r="L18" s="203" t="str">
        <f ca="1">IF(OR(K18='Tabla Impacto'!$C$11,K18='Tabla Impacto'!$D$11),"Leve",IF(OR(K18='Tabla Impacto'!$C$12,K18='Tabla Impacto'!$D$12),"Menor",IF(OR(K18='Tabla Impacto'!$C$13,K18='Tabla Impacto'!$D$13),"Moderado",IF(OR(K18='Tabla Impacto'!$C$14,K18='Tabla Impacto'!$D$14),"Mayor",IF(OR(K18='Tabla Impacto'!$C$15,K18='Tabla Impacto'!$D$15),"Catastrófico","")))))</f>
        <v/>
      </c>
      <c r="M18" s="206" t="str">
        <f ca="1">IF(L18="","",IF(L18="Leve",0.2,IF(L18="Menor",0.4,IF(L18="Moderado",0.6,IF(L18="Mayor",0.8,IF(L18="Catastrófico",1,))))))</f>
        <v/>
      </c>
      <c r="N18" s="197" t="str">
        <f ca="1">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
      </c>
      <c r="O18" s="123">
        <v>1</v>
      </c>
      <c r="P18" s="124"/>
      <c r="Q18" s="125" t="str">
        <f>IF(OR(R18="Preventivo",R18="Detectivo"),"Probabilidad",IF(R18="Correctivo","Impacto",""))</f>
        <v/>
      </c>
      <c r="R18" s="126"/>
      <c r="S18" s="126"/>
      <c r="T18" s="127" t="str">
        <f>IF(AND(R18="Preventivo",S18="Automático"),"50%",IF(AND(R18="Preventivo",S18="Manual"),"40%",IF(AND(R18="Detectivo",S18="Automático"),"40%",IF(AND(R18="Detectivo",S18="Manual"),"30%",IF(AND(R18="Correctivo",S18="Automático"),"35%",IF(AND(R18="Correctivo",S18="Manual"),"25%",""))))))</f>
        <v/>
      </c>
      <c r="U18" s="126"/>
      <c r="V18" s="126"/>
      <c r="W18" s="126"/>
      <c r="X18" s="128" t="str">
        <f>IFERROR(IF(Q18="Probabilidad",(I18-(+I18*T18)),IF(Q18="Impacto",I18,"")),"")</f>
        <v/>
      </c>
      <c r="Y18" s="129" t="str">
        <f>IFERROR(IF(X18="","",IF(X18&lt;=0.2,"Muy Baja",IF(X18&lt;=0.4,"Baja",IF(X18&lt;=0.6,"Media",IF(X18&lt;=0.8,"Alta","Muy Alta"))))),"")</f>
        <v/>
      </c>
      <c r="Z18" s="130" t="str">
        <f>+X18</f>
        <v/>
      </c>
      <c r="AA18" s="129" t="str">
        <f>IFERROR(IF(AB18="","",IF(AB18&lt;=0.2,"Leve",IF(AB18&lt;=0.4,"Menor",IF(AB18&lt;=0.6,"Moderado",IF(AB18&lt;=0.8,"Mayor","Catastrófico"))))),"")</f>
        <v/>
      </c>
      <c r="AB18" s="130" t="str">
        <f>IFERROR(IF(Q18="Impacto",(M18-(+M18*T18)),IF(Q18="Probabilidad",M18,"")),"")</f>
        <v/>
      </c>
      <c r="AC18" s="131" t="str">
        <f>IFERROR(IF(OR(AND(Y18="Muy Baja",AA18="Leve"),AND(Y18="Muy Baja",AA18="Menor"),AND(Y18="Baja",AA18="Leve")),"Bajo",IF(OR(AND(Y18="Muy baja",AA18="Moderado"),AND(Y18="Baja",AA18="Menor"),AND(Y18="Baja",AA18="Moderado"),AND(Y18="Media",AA18="Leve"),AND(Y18="Media",AA18="Menor"),AND(Y18="Media",AA18="Moderado"),AND(Y18="Alta",AA18="Leve"),AND(Y18="Alta",AA18="Menor")),"Moderado",IF(OR(AND(Y18="Muy Baja",AA18="Mayor"),AND(Y18="Baja",AA18="Mayor"),AND(Y18="Media",AA18="Mayor"),AND(Y18="Alta",AA18="Moderado"),AND(Y18="Alta",AA18="Mayor"),AND(Y18="Muy Alta",AA18="Leve"),AND(Y18="Muy Alta",AA18="Menor"),AND(Y18="Muy Alta",AA18="Moderado"),AND(Y18="Muy Alta",AA18="Mayor")),"Alto",IF(OR(AND(Y18="Muy Baja",AA18="Catastrófico"),AND(Y18="Baja",AA18="Catastrófico"),AND(Y18="Media",AA18="Catastrófico"),AND(Y18="Alta",AA18="Catastrófico"),AND(Y18="Muy Alta",AA18="Catastrófico")),"Extremo","")))),"")</f>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3"/>
      <c r="B19" s="192"/>
      <c r="C19" s="192"/>
      <c r="D19" s="192"/>
      <c r="E19" s="216"/>
      <c r="F19" s="192"/>
      <c r="G19" s="195"/>
      <c r="H19" s="204"/>
      <c r="I19" s="207"/>
      <c r="J19" s="210"/>
      <c r="K19" s="207">
        <f t="shared" ref="K19:K23" ca="1" si="12">IF(NOT(ISERROR(MATCH(J19,_xlfn.ANCHORARRAY(E30),0))),I32&amp;"Por favor no seleccionar los criterios de impacto",J19)</f>
        <v>0</v>
      </c>
      <c r="L19" s="204"/>
      <c r="M19" s="207"/>
      <c r="N19" s="198"/>
      <c r="O19" s="123">
        <v>2</v>
      </c>
      <c r="P19" s="124"/>
      <c r="Q19" s="125" t="str">
        <f>IF(OR(R19="Preventivo",R19="Detectivo"),"Probabilidad",IF(R19="Correctivo","Impacto",""))</f>
        <v/>
      </c>
      <c r="R19" s="126"/>
      <c r="S19" s="126"/>
      <c r="T19" s="127" t="str">
        <f t="shared" ref="T19:T23" si="13">IF(AND(R19="Preventivo",S19="Automático"),"50%",IF(AND(R19="Preventivo",S19="Manual"),"40%",IF(AND(R19="Detectivo",S19="Automático"),"40%",IF(AND(R19="Detectivo",S19="Manual"),"30%",IF(AND(R19="Correctivo",S19="Automático"),"35%",IF(AND(R19="Correctivo",S19="Manual"),"25%",""))))))</f>
        <v/>
      </c>
      <c r="U19" s="126"/>
      <c r="V19" s="126"/>
      <c r="W19" s="126"/>
      <c r="X19" s="137" t="str">
        <f>IFERROR(IF(AND(Q18="Probabilidad",Q19="Probabilidad"),(Z18-(+Z18*T19)),IF(Q19="Probabilidad",(I18-(+I18*T19)),IF(Q19="Impacto",Z18,""))),"")</f>
        <v/>
      </c>
      <c r="Y19" s="129" t="str">
        <f t="shared" si="1"/>
        <v/>
      </c>
      <c r="Z19" s="130" t="str">
        <f t="shared" ref="Z19:Z23" si="14">+X19</f>
        <v/>
      </c>
      <c r="AA19" s="129" t="str">
        <f t="shared" si="3"/>
        <v/>
      </c>
      <c r="AB19" s="130" t="str">
        <f>IFERROR(IF(AND(Q18="Impacto",Q19="Impacto"),(AB12-(+AB12*T19)),IF(Q19="Impacto",($M$18-(+$M$18*T19)),IF(Q19="Probabilidad",AB12,""))),"")</f>
        <v/>
      </c>
      <c r="AC19" s="131" t="str">
        <f t="shared" ref="AC19:AC20" si="15">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3"/>
      <c r="B20" s="192"/>
      <c r="C20" s="192"/>
      <c r="D20" s="192"/>
      <c r="E20" s="216"/>
      <c r="F20" s="192"/>
      <c r="G20" s="195"/>
      <c r="H20" s="204"/>
      <c r="I20" s="207"/>
      <c r="J20" s="210"/>
      <c r="K20" s="207">
        <f t="shared" ca="1" si="12"/>
        <v>0</v>
      </c>
      <c r="L20" s="204"/>
      <c r="M20" s="207"/>
      <c r="N20" s="198"/>
      <c r="O20" s="123">
        <v>3</v>
      </c>
      <c r="P20" s="136"/>
      <c r="Q20" s="125" t="str">
        <f>IF(OR(R20="Preventivo",R20="Detectivo"),"Probabilidad",IF(R20="Correctivo","Impacto",""))</f>
        <v/>
      </c>
      <c r="R20" s="126"/>
      <c r="S20" s="126"/>
      <c r="T20" s="127" t="str">
        <f t="shared" si="13"/>
        <v/>
      </c>
      <c r="U20" s="126"/>
      <c r="V20" s="126"/>
      <c r="W20" s="126"/>
      <c r="X20" s="128" t="str">
        <f>IFERROR(IF(AND(Q19="Probabilidad",Q20="Probabilidad"),(Z19-(+Z19*T20)),IF(AND(Q19="Impacto",Q20="Probabilidad"),(Z18-(+Z18*T20)),IF(Q20="Impacto",Z19,""))),"")</f>
        <v/>
      </c>
      <c r="Y20" s="129" t="str">
        <f t="shared" si="1"/>
        <v/>
      </c>
      <c r="Z20" s="130" t="str">
        <f t="shared" si="14"/>
        <v/>
      </c>
      <c r="AA20" s="129" t="str">
        <f t="shared" si="3"/>
        <v/>
      </c>
      <c r="AB20" s="130" t="str">
        <f>IFERROR(IF(AND(Q19="Impacto",Q20="Impacto"),(AB19-(+AB19*T20)),IF(AND(Q19="Probabilidad",Q20="Impacto"),(AB18-(+AB18*T20)),IF(Q20="Probabilidad",AB19,""))),"")</f>
        <v/>
      </c>
      <c r="AC20" s="131" t="str">
        <f t="shared" si="15"/>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3"/>
      <c r="B21" s="192"/>
      <c r="C21" s="192"/>
      <c r="D21" s="192"/>
      <c r="E21" s="216"/>
      <c r="F21" s="192"/>
      <c r="G21" s="195"/>
      <c r="H21" s="204"/>
      <c r="I21" s="207"/>
      <c r="J21" s="210"/>
      <c r="K21" s="207">
        <f t="shared" ca="1" si="12"/>
        <v>0</v>
      </c>
      <c r="L21" s="204"/>
      <c r="M21" s="207"/>
      <c r="N21" s="198"/>
      <c r="O21" s="123">
        <v>4</v>
      </c>
      <c r="P21" s="124"/>
      <c r="Q21" s="125" t="str">
        <f t="shared" ref="Q21:Q23" si="16">IF(OR(R21="Preventivo",R21="Detectivo"),"Probabilidad",IF(R21="Correctivo","Impacto",""))</f>
        <v/>
      </c>
      <c r="R21" s="126"/>
      <c r="S21" s="126"/>
      <c r="T21" s="127" t="str">
        <f t="shared" si="13"/>
        <v/>
      </c>
      <c r="U21" s="126"/>
      <c r="V21" s="126"/>
      <c r="W21" s="126"/>
      <c r="X21" s="128" t="str">
        <f t="shared" ref="X21:X23" si="17">IFERROR(IF(AND(Q20="Probabilidad",Q21="Probabilidad"),(Z20-(+Z20*T21)),IF(AND(Q20="Impacto",Q21="Probabilidad"),(Z19-(+Z19*T21)),IF(Q21="Impacto",Z20,""))),"")</f>
        <v/>
      </c>
      <c r="Y21" s="129" t="str">
        <f t="shared" si="1"/>
        <v/>
      </c>
      <c r="Z21" s="130" t="str">
        <f t="shared" si="14"/>
        <v/>
      </c>
      <c r="AA21" s="129" t="str">
        <f t="shared" si="3"/>
        <v/>
      </c>
      <c r="AB21" s="130" t="str">
        <f t="shared" ref="AB21:AB23" si="18">IFERROR(IF(AND(Q20="Impacto",Q21="Impacto"),(AB20-(+AB20*T21)),IF(AND(Q20="Probabilidad",Q21="Impacto"),(AB19-(+AB19*T21)),IF(Q21="Probabilidad",AB20,""))),"")</f>
        <v/>
      </c>
      <c r="AC21" s="131"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3"/>
      <c r="B22" s="192"/>
      <c r="C22" s="192"/>
      <c r="D22" s="192"/>
      <c r="E22" s="216"/>
      <c r="F22" s="192"/>
      <c r="G22" s="195"/>
      <c r="H22" s="204"/>
      <c r="I22" s="207"/>
      <c r="J22" s="210"/>
      <c r="K22" s="207">
        <f t="shared" ca="1" si="12"/>
        <v>0</v>
      </c>
      <c r="L22" s="204"/>
      <c r="M22" s="207"/>
      <c r="N22" s="198"/>
      <c r="O22" s="123">
        <v>5</v>
      </c>
      <c r="P22" s="124"/>
      <c r="Q22" s="125" t="str">
        <f t="shared" si="16"/>
        <v/>
      </c>
      <c r="R22" s="126"/>
      <c r="S22" s="126"/>
      <c r="T22" s="127" t="str">
        <f t="shared" si="13"/>
        <v/>
      </c>
      <c r="U22" s="126"/>
      <c r="V22" s="126"/>
      <c r="W22" s="126"/>
      <c r="X22" s="128" t="str">
        <f t="shared" si="17"/>
        <v/>
      </c>
      <c r="Y22" s="129" t="str">
        <f t="shared" si="1"/>
        <v/>
      </c>
      <c r="Z22" s="130" t="str">
        <f t="shared" si="14"/>
        <v/>
      </c>
      <c r="AA22" s="129" t="str">
        <f t="shared" si="3"/>
        <v/>
      </c>
      <c r="AB22" s="130" t="str">
        <f t="shared" si="18"/>
        <v/>
      </c>
      <c r="AC22" s="131" t="str">
        <f t="shared" ref="AC22:AC23" si="19">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4"/>
      <c r="B23" s="193"/>
      <c r="C23" s="193"/>
      <c r="D23" s="193"/>
      <c r="E23" s="217"/>
      <c r="F23" s="193"/>
      <c r="G23" s="196"/>
      <c r="H23" s="205"/>
      <c r="I23" s="208"/>
      <c r="J23" s="211"/>
      <c r="K23" s="208">
        <f t="shared" ca="1" si="12"/>
        <v>0</v>
      </c>
      <c r="L23" s="205"/>
      <c r="M23" s="208"/>
      <c r="N23" s="199"/>
      <c r="O23" s="123">
        <v>6</v>
      </c>
      <c r="P23" s="124"/>
      <c r="Q23" s="125" t="str">
        <f t="shared" si="16"/>
        <v/>
      </c>
      <c r="R23" s="126"/>
      <c r="S23" s="126"/>
      <c r="T23" s="127" t="str">
        <f t="shared" si="13"/>
        <v/>
      </c>
      <c r="U23" s="126"/>
      <c r="V23" s="126"/>
      <c r="W23" s="126"/>
      <c r="X23" s="128" t="str">
        <f t="shared" si="17"/>
        <v/>
      </c>
      <c r="Y23" s="129" t="str">
        <f t="shared" si="1"/>
        <v/>
      </c>
      <c r="Z23" s="130" t="str">
        <f t="shared" si="14"/>
        <v/>
      </c>
      <c r="AA23" s="129" t="str">
        <f t="shared" si="3"/>
        <v/>
      </c>
      <c r="AB23" s="130" t="str">
        <f t="shared" si="18"/>
        <v/>
      </c>
      <c r="AC23" s="131" t="str">
        <f t="shared" si="19"/>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2">
        <v>4</v>
      </c>
      <c r="B24" s="191"/>
      <c r="C24" s="191"/>
      <c r="D24" s="191"/>
      <c r="E24" s="215"/>
      <c r="F24" s="191"/>
      <c r="G24" s="194"/>
      <c r="H24" s="203" t="str">
        <f>IF(G24&lt;=0,"",IF(G24&lt;=2,"Muy Baja",IF(G24&lt;=24,"Baja",IF(G24&lt;=500,"Media",IF(G24&lt;=5000,"Alta","Muy Alta")))))</f>
        <v/>
      </c>
      <c r="I24" s="206" t="str">
        <f>IF(H24="","",IF(H24="Muy Baja",0.2,IF(H24="Baja",0.4,IF(H24="Media",0.6,IF(H24="Alta",0.8,IF(H24="Muy Alta",1,))))))</f>
        <v/>
      </c>
      <c r="J24" s="209"/>
      <c r="K24" s="206">
        <f ca="1">IF(NOT(ISERROR(MATCH(J24,'Tabla Impacto'!$B$221:$B$223,0))),'Tabla Impacto'!$F$223&amp;"Por favor no seleccionar los criterios de impacto(Afectación Económica o presupuestal y Pérdida Reputacional)",J24)</f>
        <v>0</v>
      </c>
      <c r="L24" s="203" t="str">
        <f ca="1">IF(OR(K24='Tabla Impacto'!$C$11,K24='Tabla Impacto'!$D$11),"Leve",IF(OR(K24='Tabla Impacto'!$C$12,K24='Tabla Impacto'!$D$12),"Menor",IF(OR(K24='Tabla Impacto'!$C$13,K24='Tabla Impacto'!$D$13),"Moderado",IF(OR(K24='Tabla Impacto'!$C$14,K24='Tabla Impacto'!$D$14),"Mayor",IF(OR(K24='Tabla Impacto'!$C$15,K24='Tabla Impacto'!$D$15),"Catastrófico","")))))</f>
        <v/>
      </c>
      <c r="M24" s="206" t="str">
        <f ca="1">IF(L24="","",IF(L24="Leve",0.2,IF(L24="Menor",0.4,IF(L24="Moderado",0.6,IF(L24="Mayor",0.8,IF(L24="Catastrófico",1,))))))</f>
        <v/>
      </c>
      <c r="N24" s="197" t="str">
        <f ca="1">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
      </c>
      <c r="O24" s="123">
        <v>1</v>
      </c>
      <c r="P24" s="124"/>
      <c r="Q24" s="125" t="str">
        <f>IF(OR(R24="Preventivo",R24="Detectivo"),"Probabilidad",IF(R24="Correctivo","Impacto",""))</f>
        <v/>
      </c>
      <c r="R24" s="126"/>
      <c r="S24" s="126"/>
      <c r="T24" s="127" t="str">
        <f>IF(AND(R24="Preventivo",S24="Automático"),"50%",IF(AND(R24="Preventivo",S24="Manual"),"40%",IF(AND(R24="Detectivo",S24="Automático"),"40%",IF(AND(R24="Detectivo",S24="Manual"),"30%",IF(AND(R24="Correctivo",S24="Automático"),"35%",IF(AND(R24="Correctivo",S24="Manual"),"25%",""))))))</f>
        <v/>
      </c>
      <c r="U24" s="126"/>
      <c r="V24" s="126"/>
      <c r="W24" s="126"/>
      <c r="X24" s="128" t="str">
        <f>IFERROR(IF(Q24="Probabilidad",(I24-(+I24*T24)),IF(Q24="Impacto",I24,"")),"")</f>
        <v/>
      </c>
      <c r="Y24" s="129" t="str">
        <f>IFERROR(IF(X24="","",IF(X24&lt;=0.2,"Muy Baja",IF(X24&lt;=0.4,"Baja",IF(X24&lt;=0.6,"Media",IF(X24&lt;=0.8,"Alta","Muy Alta"))))),"")</f>
        <v/>
      </c>
      <c r="Z24" s="130" t="str">
        <f>+X24</f>
        <v/>
      </c>
      <c r="AA24" s="129" t="str">
        <f>IFERROR(IF(AB24="","",IF(AB24&lt;=0.2,"Leve",IF(AB24&lt;=0.4,"Menor",IF(AB24&lt;=0.6,"Moderado",IF(AB24&lt;=0.8,"Mayor","Catastrófico"))))),"")</f>
        <v/>
      </c>
      <c r="AB24" s="130" t="str">
        <f>IFERROR(IF(Q24="Impacto",(M24-(+M24*T24)),IF(Q24="Probabilidad",M24,"")),"")</f>
        <v/>
      </c>
      <c r="AC24" s="131" t="str">
        <f>IFERROR(IF(OR(AND(Y24="Muy Baja",AA24="Leve"),AND(Y24="Muy Baja",AA24="Menor"),AND(Y24="Baja",AA24="Leve")),"Bajo",IF(OR(AND(Y24="Muy baja",AA24="Moderado"),AND(Y24="Baja",AA24="Menor"),AND(Y24="Baja",AA24="Moderado"),AND(Y24="Media",AA24="Leve"),AND(Y24="Media",AA24="Menor"),AND(Y24="Media",AA24="Moderado"),AND(Y24="Alta",AA24="Leve"),AND(Y24="Alta",AA24="Menor")),"Moderado",IF(OR(AND(Y24="Muy Baja",AA24="Mayor"),AND(Y24="Baja",AA24="Mayor"),AND(Y24="Media",AA24="Mayor"),AND(Y24="Alta",AA24="Moderado"),AND(Y24="Alta",AA24="Mayor"),AND(Y24="Muy Alta",AA24="Leve"),AND(Y24="Muy Alta",AA24="Menor"),AND(Y24="Muy Alta",AA24="Moderado"),AND(Y24="Muy Alta",AA24="Mayor")),"Alto",IF(OR(AND(Y24="Muy Baja",AA24="Catastrófico"),AND(Y24="Baja",AA24="Catastrófico"),AND(Y24="Media",AA24="Catastrófico"),AND(Y24="Alta",AA24="Catastrófico"),AND(Y24="Muy Alta",AA24="Catastrófico")),"Extremo","")))),"")</f>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3"/>
      <c r="B25" s="192"/>
      <c r="C25" s="192"/>
      <c r="D25" s="192"/>
      <c r="E25" s="216"/>
      <c r="F25" s="192"/>
      <c r="G25" s="195"/>
      <c r="H25" s="204"/>
      <c r="I25" s="207"/>
      <c r="J25" s="210"/>
      <c r="K25" s="207">
        <f t="shared" ref="K25:K29" ca="1" si="20">IF(NOT(ISERROR(MATCH(J25,_xlfn.ANCHORARRAY(E36),0))),I38&amp;"Por favor no seleccionar los criterios de impacto",J25)</f>
        <v>0</v>
      </c>
      <c r="L25" s="204"/>
      <c r="M25" s="207"/>
      <c r="N25" s="198"/>
      <c r="O25" s="123">
        <v>2</v>
      </c>
      <c r="P25" s="124"/>
      <c r="Q25" s="125" t="str">
        <f>IF(OR(R25="Preventivo",R25="Detectivo"),"Probabilidad",IF(R25="Correctivo","Impacto",""))</f>
        <v/>
      </c>
      <c r="R25" s="126"/>
      <c r="S25" s="126"/>
      <c r="T25" s="127" t="str">
        <f t="shared" ref="T25:T29" si="21">IF(AND(R25="Preventivo",S25="Automático"),"50%",IF(AND(R25="Preventivo",S25="Manual"),"40%",IF(AND(R25="Detectivo",S25="Automático"),"40%",IF(AND(R25="Detectivo",S25="Manual"),"30%",IF(AND(R25="Correctivo",S25="Automático"),"35%",IF(AND(R25="Correctivo",S25="Manual"),"25%",""))))))</f>
        <v/>
      </c>
      <c r="U25" s="126"/>
      <c r="V25" s="126"/>
      <c r="W25" s="126"/>
      <c r="X25" s="128" t="str">
        <f>IFERROR(IF(AND(Q24="Probabilidad",Q25="Probabilidad"),(Z24-(+Z24*T25)),IF(Q25="Probabilidad",(I24-(+I24*T25)),IF(Q25="Impacto",Z24,""))),"")</f>
        <v/>
      </c>
      <c r="Y25" s="129" t="str">
        <f t="shared" si="1"/>
        <v/>
      </c>
      <c r="Z25" s="130" t="str">
        <f t="shared" ref="Z25:Z29" si="22">+X25</f>
        <v/>
      </c>
      <c r="AA25" s="129" t="str">
        <f t="shared" si="3"/>
        <v/>
      </c>
      <c r="AB25" s="130" t="str">
        <f>IFERROR(IF(AND(Q24="Impacto",Q25="Impacto"),(AB18-(+AB18*T25)),IF(Q25="Impacto",($M$24-(+$M$24*T25)),IF(Q25="Probabilidad",AB18,""))),"")</f>
        <v/>
      </c>
      <c r="AC25" s="131" t="str">
        <f t="shared" ref="AC25:AC26" si="23">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3"/>
      <c r="B26" s="192"/>
      <c r="C26" s="192"/>
      <c r="D26" s="192"/>
      <c r="E26" s="216"/>
      <c r="F26" s="192"/>
      <c r="G26" s="195"/>
      <c r="H26" s="204"/>
      <c r="I26" s="207"/>
      <c r="J26" s="210"/>
      <c r="K26" s="207">
        <f t="shared" ca="1" si="20"/>
        <v>0</v>
      </c>
      <c r="L26" s="204"/>
      <c r="M26" s="207"/>
      <c r="N26" s="198"/>
      <c r="O26" s="123">
        <v>3</v>
      </c>
      <c r="P26" s="136"/>
      <c r="Q26" s="125" t="str">
        <f>IF(OR(R26="Preventivo",R26="Detectivo"),"Probabilidad",IF(R26="Correctivo","Impacto",""))</f>
        <v/>
      </c>
      <c r="R26" s="126"/>
      <c r="S26" s="126"/>
      <c r="T26" s="127" t="str">
        <f t="shared" si="21"/>
        <v/>
      </c>
      <c r="U26" s="126"/>
      <c r="V26" s="126"/>
      <c r="W26" s="126"/>
      <c r="X26" s="128" t="str">
        <f>IFERROR(IF(AND(Q25="Probabilidad",Q26="Probabilidad"),(Z25-(+Z25*T26)),IF(AND(Q25="Impacto",Q26="Probabilidad"),(Z24-(+Z24*T26)),IF(Q26="Impacto",Z25,""))),"")</f>
        <v/>
      </c>
      <c r="Y26" s="129" t="str">
        <f t="shared" si="1"/>
        <v/>
      </c>
      <c r="Z26" s="130" t="str">
        <f t="shared" si="22"/>
        <v/>
      </c>
      <c r="AA26" s="129" t="str">
        <f t="shared" si="3"/>
        <v/>
      </c>
      <c r="AB26" s="130" t="str">
        <f>IFERROR(IF(AND(Q25="Impacto",Q26="Impacto"),(AB25-(+AB25*T26)),IF(AND(Q25="Probabilidad",Q26="Impacto"),(AB24-(+AB24*T26)),IF(Q26="Probabilidad",AB25,""))),"")</f>
        <v/>
      </c>
      <c r="AC26" s="131" t="str">
        <f t="shared" si="23"/>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3"/>
      <c r="B27" s="192"/>
      <c r="C27" s="192"/>
      <c r="D27" s="192"/>
      <c r="E27" s="216"/>
      <c r="F27" s="192"/>
      <c r="G27" s="195"/>
      <c r="H27" s="204"/>
      <c r="I27" s="207"/>
      <c r="J27" s="210"/>
      <c r="K27" s="207">
        <f t="shared" ca="1" si="20"/>
        <v>0</v>
      </c>
      <c r="L27" s="204"/>
      <c r="M27" s="207"/>
      <c r="N27" s="198"/>
      <c r="O27" s="123">
        <v>4</v>
      </c>
      <c r="P27" s="124"/>
      <c r="Q27" s="125" t="str">
        <f t="shared" ref="Q27:Q29" si="24">IF(OR(R27="Preventivo",R27="Detectivo"),"Probabilidad",IF(R27="Correctivo","Impacto",""))</f>
        <v/>
      </c>
      <c r="R27" s="126"/>
      <c r="S27" s="126"/>
      <c r="T27" s="127" t="str">
        <f t="shared" si="21"/>
        <v/>
      </c>
      <c r="U27" s="126"/>
      <c r="V27" s="126"/>
      <c r="W27" s="126"/>
      <c r="X27" s="128" t="str">
        <f t="shared" ref="X27:X29" si="25">IFERROR(IF(AND(Q26="Probabilidad",Q27="Probabilidad"),(Z26-(+Z26*T27)),IF(AND(Q26="Impacto",Q27="Probabilidad"),(Z25-(+Z25*T27)),IF(Q27="Impacto",Z26,""))),"")</f>
        <v/>
      </c>
      <c r="Y27" s="129" t="str">
        <f t="shared" si="1"/>
        <v/>
      </c>
      <c r="Z27" s="130" t="str">
        <f t="shared" si="22"/>
        <v/>
      </c>
      <c r="AA27" s="129" t="str">
        <f t="shared" si="3"/>
        <v/>
      </c>
      <c r="AB27" s="130" t="str">
        <f t="shared" ref="AB27:AB29" si="26">IFERROR(IF(AND(Q26="Impacto",Q27="Impacto"),(AB26-(+AB26*T27)),IF(AND(Q26="Probabilidad",Q27="Impacto"),(AB25-(+AB25*T27)),IF(Q27="Probabilidad",AB26,""))),"")</f>
        <v/>
      </c>
      <c r="AC27" s="131" t="str">
        <f>IFERROR(IF(OR(AND(Y27="Muy Baja",AA27="Leve"),AND(Y27="Muy Baja",AA27="Menor"),AND(Y27="Baja",AA27="Leve")),"Bajo",IF(OR(AND(Y27="Muy baja",AA27="Moderado"),AND(Y27="Baja",AA27="Menor"),AND(Y27="Baja",AA27="Moderado"),AND(Y27="Media",AA27="Leve"),AND(Y27="Media",AA27="Menor"),AND(Y27="Media",AA27="Moderado"),AND(Y27="Alta",AA27="Leve"),AND(Y27="Alta",AA27="Menor")),"Moderado",IF(OR(AND(Y27="Muy Baja",AA27="Mayor"),AND(Y27="Baja",AA27="Mayor"),AND(Y27="Media",AA27="Mayor"),AND(Y27="Alta",AA27="Moderado"),AND(Y27="Alta",AA27="Mayor"),AND(Y27="Muy Alta",AA27="Leve"),AND(Y27="Muy Alta",AA27="Menor"),AND(Y27="Muy Alta",AA27="Moderado"),AND(Y27="Muy Alta",AA27="Mayor")),"Alto",IF(OR(AND(Y27="Muy Baja",AA27="Catastrófico"),AND(Y27="Baja",AA27="Catastrófico"),AND(Y27="Media",AA27="Catastrófico"),AND(Y27="Alta",AA27="Catastrófico"),AND(Y27="Muy Alta",AA27="Catastrófico")),"Extremo","")))),"")</f>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3"/>
      <c r="B28" s="192"/>
      <c r="C28" s="192"/>
      <c r="D28" s="192"/>
      <c r="E28" s="216"/>
      <c r="F28" s="192"/>
      <c r="G28" s="195"/>
      <c r="H28" s="204"/>
      <c r="I28" s="207"/>
      <c r="J28" s="210"/>
      <c r="K28" s="207">
        <f t="shared" ca="1" si="20"/>
        <v>0</v>
      </c>
      <c r="L28" s="204"/>
      <c r="M28" s="207"/>
      <c r="N28" s="198"/>
      <c r="O28" s="123">
        <v>5</v>
      </c>
      <c r="P28" s="124"/>
      <c r="Q28" s="125" t="str">
        <f t="shared" si="24"/>
        <v/>
      </c>
      <c r="R28" s="126"/>
      <c r="S28" s="126"/>
      <c r="T28" s="127" t="str">
        <f t="shared" si="21"/>
        <v/>
      </c>
      <c r="U28" s="126"/>
      <c r="V28" s="126"/>
      <c r="W28" s="126"/>
      <c r="X28" s="137" t="str">
        <f t="shared" si="25"/>
        <v/>
      </c>
      <c r="Y28" s="129" t="str">
        <f>IFERROR(IF(X28="","",IF(X28&lt;=0.2,"Muy Baja",IF(X28&lt;=0.4,"Baja",IF(X28&lt;=0.6,"Media",IF(X28&lt;=0.8,"Alta","Muy Alta"))))),"")</f>
        <v/>
      </c>
      <c r="Z28" s="130" t="str">
        <f t="shared" si="22"/>
        <v/>
      </c>
      <c r="AA28" s="129" t="str">
        <f t="shared" si="3"/>
        <v/>
      </c>
      <c r="AB28" s="130" t="str">
        <f t="shared" si="26"/>
        <v/>
      </c>
      <c r="AC28" s="131" t="str">
        <f t="shared" ref="AC28:AC29" si="27">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4"/>
      <c r="B29" s="193"/>
      <c r="C29" s="193"/>
      <c r="D29" s="193"/>
      <c r="E29" s="217"/>
      <c r="F29" s="193"/>
      <c r="G29" s="196"/>
      <c r="H29" s="205"/>
      <c r="I29" s="208"/>
      <c r="J29" s="211"/>
      <c r="K29" s="208">
        <f t="shared" ca="1" si="20"/>
        <v>0</v>
      </c>
      <c r="L29" s="205"/>
      <c r="M29" s="208"/>
      <c r="N29" s="199"/>
      <c r="O29" s="123">
        <v>6</v>
      </c>
      <c r="P29" s="124"/>
      <c r="Q29" s="125" t="str">
        <f t="shared" si="24"/>
        <v/>
      </c>
      <c r="R29" s="126"/>
      <c r="S29" s="126"/>
      <c r="T29" s="127" t="str">
        <f t="shared" si="21"/>
        <v/>
      </c>
      <c r="U29" s="126"/>
      <c r="V29" s="126"/>
      <c r="W29" s="126"/>
      <c r="X29" s="128" t="str">
        <f t="shared" si="25"/>
        <v/>
      </c>
      <c r="Y29" s="129" t="str">
        <f t="shared" si="1"/>
        <v/>
      </c>
      <c r="Z29" s="130" t="str">
        <f t="shared" si="22"/>
        <v/>
      </c>
      <c r="AA29" s="129" t="str">
        <f t="shared" si="3"/>
        <v/>
      </c>
      <c r="AB29" s="130" t="str">
        <f t="shared" si="26"/>
        <v/>
      </c>
      <c r="AC29" s="131" t="str">
        <f t="shared" si="27"/>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2">
        <v>5</v>
      </c>
      <c r="B30" s="191"/>
      <c r="C30" s="191"/>
      <c r="D30" s="191"/>
      <c r="E30" s="215"/>
      <c r="F30" s="191"/>
      <c r="G30" s="194"/>
      <c r="H30" s="203" t="str">
        <f>IF(G30&lt;=0,"",IF(G30&lt;=2,"Muy Baja",IF(G30&lt;=24,"Baja",IF(G30&lt;=500,"Media",IF(G30&lt;=5000,"Alta","Muy Alta")))))</f>
        <v/>
      </c>
      <c r="I30" s="206" t="str">
        <f>IF(H30="","",IF(H30="Muy Baja",0.2,IF(H30="Baja",0.4,IF(H30="Media",0.6,IF(H30="Alta",0.8,IF(H30="Muy Alta",1,))))))</f>
        <v/>
      </c>
      <c r="J30" s="209"/>
      <c r="K30" s="206">
        <f ca="1">IF(NOT(ISERROR(MATCH(J30,'Tabla Impacto'!$B$221:$B$223,0))),'Tabla Impacto'!$F$223&amp;"Por favor no seleccionar los criterios de impacto(Afectación Económica o presupuestal y Pérdida Reputacional)",J30)</f>
        <v>0</v>
      </c>
      <c r="L30" s="203" t="str">
        <f ca="1">IF(OR(K30='Tabla Impacto'!$C$11,K30='Tabla Impacto'!$D$11),"Leve",IF(OR(K30='Tabla Impacto'!$C$12,K30='Tabla Impacto'!$D$12),"Menor",IF(OR(K30='Tabla Impacto'!$C$13,K30='Tabla Impacto'!$D$13),"Moderado",IF(OR(K30='Tabla Impacto'!$C$14,K30='Tabla Impacto'!$D$14),"Mayor",IF(OR(K30='Tabla Impacto'!$C$15,K30='Tabla Impacto'!$D$15),"Catastrófico","")))))</f>
        <v/>
      </c>
      <c r="M30" s="206" t="str">
        <f ca="1">IF(L30="","",IF(L30="Leve",0.2,IF(L30="Menor",0.4,IF(L30="Moderado",0.6,IF(L30="Mayor",0.8,IF(L30="Catastrófico",1,))))))</f>
        <v/>
      </c>
      <c r="N30" s="197" t="str">
        <f ca="1">IF(OR(AND(H30="Muy Baja",L30="Leve"),AND(H30="Muy Baja",L30="Menor"),AND(H30="Baja",L30="Leve")),"Bajo",IF(OR(AND(H30="Muy baja",L30="Moderado"),AND(H30="Baja",L30="Menor"),AND(H30="Baja",L30="Moderado"),AND(H30="Media",L30="Leve"),AND(H30="Media",L30="Menor"),AND(H30="Media",L30="Moderado"),AND(H30="Alta",L30="Leve"),AND(H30="Alta",L30="Menor")),"Moderado",IF(OR(AND(H30="Muy Baja",L30="Mayor"),AND(H30="Baja",L30="Mayor"),AND(H30="Media",L30="Mayor"),AND(H30="Alta",L30="Moderado"),AND(H30="Alta",L30="Mayor"),AND(H30="Muy Alta",L30="Leve"),AND(H30="Muy Alta",L30="Menor"),AND(H30="Muy Alta",L30="Moderado"),AND(H30="Muy Alta",L30="Mayor")),"Alto",IF(OR(AND(H30="Muy Baja",L30="Catastrófico"),AND(H30="Baja",L30="Catastrófico"),AND(H30="Media",L30="Catastrófico"),AND(H30="Alta",L30="Catastrófico"),AND(H30="Muy Alta",L30="Catastrófico")),"Extremo",""))))</f>
        <v/>
      </c>
      <c r="O30" s="123">
        <v>1</v>
      </c>
      <c r="P30" s="124"/>
      <c r="Q30" s="125" t="str">
        <f>IF(OR(R30="Preventivo",R30="Detectivo"),"Probabilidad",IF(R30="Correctivo","Impacto",""))</f>
        <v/>
      </c>
      <c r="R30" s="126"/>
      <c r="S30" s="126"/>
      <c r="T30" s="127" t="str">
        <f>IF(AND(R30="Preventivo",S30="Automático"),"50%",IF(AND(R30="Preventivo",S30="Manual"),"40%",IF(AND(R30="Detectivo",S30="Automático"),"40%",IF(AND(R30="Detectivo",S30="Manual"),"30%",IF(AND(R30="Correctivo",S30="Automático"),"35%",IF(AND(R30="Correctivo",S30="Manual"),"25%",""))))))</f>
        <v/>
      </c>
      <c r="U30" s="126"/>
      <c r="V30" s="126"/>
      <c r="W30" s="126"/>
      <c r="X30" s="128" t="str">
        <f>IFERROR(IF(Q30="Probabilidad",(I30-(+I30*T30)),IF(Q30="Impacto",I30,"")),"")</f>
        <v/>
      </c>
      <c r="Y30" s="129" t="str">
        <f>IFERROR(IF(X30="","",IF(X30&lt;=0.2,"Muy Baja",IF(X30&lt;=0.4,"Baja",IF(X30&lt;=0.6,"Media",IF(X30&lt;=0.8,"Alta","Muy Alta"))))),"")</f>
        <v/>
      </c>
      <c r="Z30" s="130" t="str">
        <f>+X30</f>
        <v/>
      </c>
      <c r="AA30" s="129" t="str">
        <f>IFERROR(IF(AB30="","",IF(AB30&lt;=0.2,"Leve",IF(AB30&lt;=0.4,"Menor",IF(AB30&lt;=0.6,"Moderado",IF(AB30&lt;=0.8,"Mayor","Catastrófico"))))),"")</f>
        <v/>
      </c>
      <c r="AB30" s="130" t="str">
        <f>IFERROR(IF(Q30="Impacto",(M30-(+M30*T30)),IF(Q30="Probabilidad",M30,"")),"")</f>
        <v/>
      </c>
      <c r="AC30" s="131"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3"/>
      <c r="B31" s="192"/>
      <c r="C31" s="192"/>
      <c r="D31" s="192"/>
      <c r="E31" s="216"/>
      <c r="F31" s="192"/>
      <c r="G31" s="195"/>
      <c r="H31" s="204"/>
      <c r="I31" s="207"/>
      <c r="J31" s="210"/>
      <c r="K31" s="207">
        <f t="shared" ref="K31:K35" ca="1" si="28">IF(NOT(ISERROR(MATCH(J31,_xlfn.ANCHORARRAY(E42),0))),I44&amp;"Por favor no seleccionar los criterios de impacto",J31)</f>
        <v>0</v>
      </c>
      <c r="L31" s="204"/>
      <c r="M31" s="207"/>
      <c r="N31" s="198"/>
      <c r="O31" s="123">
        <v>2</v>
      </c>
      <c r="P31" s="124"/>
      <c r="Q31" s="125" t="str">
        <f>IF(OR(R31="Preventivo",R31="Detectivo"),"Probabilidad",IF(R31="Correctivo","Impacto",""))</f>
        <v/>
      </c>
      <c r="R31" s="126"/>
      <c r="S31" s="126"/>
      <c r="T31" s="127" t="str">
        <f t="shared" ref="T31:T35" si="29">IF(AND(R31="Preventivo",S31="Automático"),"50%",IF(AND(R31="Preventivo",S31="Manual"),"40%",IF(AND(R31="Detectivo",S31="Automático"),"40%",IF(AND(R31="Detectivo",S31="Manual"),"30%",IF(AND(R31="Correctivo",S31="Automático"),"35%",IF(AND(R31="Correctivo",S31="Manual"),"25%",""))))))</f>
        <v/>
      </c>
      <c r="U31" s="126"/>
      <c r="V31" s="126"/>
      <c r="W31" s="126"/>
      <c r="X31" s="128" t="str">
        <f>IFERROR(IF(AND(Q30="Probabilidad",Q31="Probabilidad"),(Z30-(+Z30*T31)),IF(Q31="Probabilidad",(I30-(+I30*T31)),IF(Q31="Impacto",Z30,""))),"")</f>
        <v/>
      </c>
      <c r="Y31" s="129" t="str">
        <f t="shared" si="1"/>
        <v/>
      </c>
      <c r="Z31" s="130" t="str">
        <f t="shared" ref="Z31:Z35" si="30">+X31</f>
        <v/>
      </c>
      <c r="AA31" s="129" t="str">
        <f t="shared" si="3"/>
        <v/>
      </c>
      <c r="AB31" s="130" t="str">
        <f>IFERROR(IF(AND(Q30="Impacto",Q31="Impacto"),(AB24-(+AB24*T31)),IF(Q31="Impacto",($M$30-(+$M$30*T31)),IF(Q31="Probabilidad",AB24,""))),"")</f>
        <v/>
      </c>
      <c r="AC31" s="131" t="str">
        <f t="shared" ref="AC31:AC32" si="31">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3"/>
      <c r="B32" s="192"/>
      <c r="C32" s="192"/>
      <c r="D32" s="192"/>
      <c r="E32" s="216"/>
      <c r="F32" s="192"/>
      <c r="G32" s="195"/>
      <c r="H32" s="204"/>
      <c r="I32" s="207"/>
      <c r="J32" s="210"/>
      <c r="K32" s="207">
        <f t="shared" ca="1" si="28"/>
        <v>0</v>
      </c>
      <c r="L32" s="204"/>
      <c r="M32" s="207"/>
      <c r="N32" s="198"/>
      <c r="O32" s="123">
        <v>3</v>
      </c>
      <c r="P32" s="136"/>
      <c r="Q32" s="125" t="str">
        <f>IF(OR(R32="Preventivo",R32="Detectivo"),"Probabilidad",IF(R32="Correctivo","Impacto",""))</f>
        <v/>
      </c>
      <c r="R32" s="126"/>
      <c r="S32" s="126"/>
      <c r="T32" s="127" t="str">
        <f t="shared" si="29"/>
        <v/>
      </c>
      <c r="U32" s="126"/>
      <c r="V32" s="126"/>
      <c r="W32" s="126"/>
      <c r="X32" s="128" t="str">
        <f>IFERROR(IF(AND(Q31="Probabilidad",Q32="Probabilidad"),(Z31-(+Z31*T32)),IF(AND(Q31="Impacto",Q32="Probabilidad"),(Z30-(+Z30*T32)),IF(Q32="Impacto",Z31,""))),"")</f>
        <v/>
      </c>
      <c r="Y32" s="129" t="str">
        <f t="shared" si="1"/>
        <v/>
      </c>
      <c r="Z32" s="130" t="str">
        <f t="shared" si="30"/>
        <v/>
      </c>
      <c r="AA32" s="129" t="str">
        <f t="shared" si="3"/>
        <v/>
      </c>
      <c r="AB32" s="130" t="str">
        <f>IFERROR(IF(AND(Q31="Impacto",Q32="Impacto"),(AB31-(+AB31*T32)),IF(AND(Q31="Probabilidad",Q32="Impacto"),(AB30-(+AB30*T32)),IF(Q32="Probabilidad",AB31,""))),"")</f>
        <v/>
      </c>
      <c r="AC32" s="131" t="str">
        <f t="shared" si="31"/>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3"/>
      <c r="B33" s="192"/>
      <c r="C33" s="192"/>
      <c r="D33" s="192"/>
      <c r="E33" s="216"/>
      <c r="F33" s="192"/>
      <c r="G33" s="195"/>
      <c r="H33" s="204"/>
      <c r="I33" s="207"/>
      <c r="J33" s="210"/>
      <c r="K33" s="207">
        <f t="shared" ca="1" si="28"/>
        <v>0</v>
      </c>
      <c r="L33" s="204"/>
      <c r="M33" s="207"/>
      <c r="N33" s="198"/>
      <c r="O33" s="123">
        <v>4</v>
      </c>
      <c r="P33" s="124"/>
      <c r="Q33" s="125" t="str">
        <f t="shared" ref="Q33:Q35" si="32">IF(OR(R33="Preventivo",R33="Detectivo"),"Probabilidad",IF(R33="Correctivo","Impacto",""))</f>
        <v/>
      </c>
      <c r="R33" s="126"/>
      <c r="S33" s="126"/>
      <c r="T33" s="127" t="str">
        <f t="shared" si="29"/>
        <v/>
      </c>
      <c r="U33" s="126"/>
      <c r="V33" s="126"/>
      <c r="W33" s="126"/>
      <c r="X33" s="128" t="str">
        <f t="shared" ref="X33:X35" si="33">IFERROR(IF(AND(Q32="Probabilidad",Q33="Probabilidad"),(Z32-(+Z32*T33)),IF(AND(Q32="Impacto",Q33="Probabilidad"),(Z31-(+Z31*T33)),IF(Q33="Impacto",Z32,""))),"")</f>
        <v/>
      </c>
      <c r="Y33" s="129" t="str">
        <f t="shared" si="1"/>
        <v/>
      </c>
      <c r="Z33" s="130" t="str">
        <f t="shared" si="30"/>
        <v/>
      </c>
      <c r="AA33" s="129" t="str">
        <f t="shared" si="3"/>
        <v/>
      </c>
      <c r="AB33" s="130" t="str">
        <f t="shared" ref="AB33:AB35" si="34">IFERROR(IF(AND(Q32="Impacto",Q33="Impacto"),(AB32-(+AB32*T33)),IF(AND(Q32="Probabilidad",Q33="Impacto"),(AB31-(+AB31*T33)),IF(Q33="Probabilidad",AB32,""))),"")</f>
        <v/>
      </c>
      <c r="AC33" s="131" t="str">
        <f>IFERROR(IF(OR(AND(Y33="Muy Baja",AA33="Leve"),AND(Y33="Muy Baja",AA33="Menor"),AND(Y33="Baja",AA33="Leve")),"Bajo",IF(OR(AND(Y33="Muy baja",AA33="Moderado"),AND(Y33="Baja",AA33="Menor"),AND(Y33="Baja",AA33="Moderado"),AND(Y33="Media",AA33="Leve"),AND(Y33="Media",AA33="Menor"),AND(Y33="Media",AA33="Moderado"),AND(Y33="Alta",AA33="Leve"),AND(Y33="Alta",AA33="Menor")),"Moderado",IF(OR(AND(Y33="Muy Baja",AA33="Mayor"),AND(Y33="Baja",AA33="Mayor"),AND(Y33="Media",AA33="Mayor"),AND(Y33="Alta",AA33="Moderado"),AND(Y33="Alta",AA33="Mayor"),AND(Y33="Muy Alta",AA33="Leve"),AND(Y33="Muy Alta",AA33="Menor"),AND(Y33="Muy Alta",AA33="Moderado"),AND(Y33="Muy Alta",AA33="Mayor")),"Alto",IF(OR(AND(Y33="Muy Baja",AA33="Catastrófico"),AND(Y33="Baja",AA33="Catastrófico"),AND(Y33="Media",AA33="Catastrófico"),AND(Y33="Alta",AA33="Catastrófico"),AND(Y33="Muy Alta",AA33="Catastrófico")),"Extremo","")))),"")</f>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3"/>
      <c r="B34" s="192"/>
      <c r="C34" s="192"/>
      <c r="D34" s="192"/>
      <c r="E34" s="216"/>
      <c r="F34" s="192"/>
      <c r="G34" s="195"/>
      <c r="H34" s="204"/>
      <c r="I34" s="207"/>
      <c r="J34" s="210"/>
      <c r="K34" s="207">
        <f t="shared" ca="1" si="28"/>
        <v>0</v>
      </c>
      <c r="L34" s="204"/>
      <c r="M34" s="207"/>
      <c r="N34" s="198"/>
      <c r="O34" s="123">
        <v>5</v>
      </c>
      <c r="P34" s="124"/>
      <c r="Q34" s="125" t="str">
        <f t="shared" si="32"/>
        <v/>
      </c>
      <c r="R34" s="126"/>
      <c r="S34" s="126"/>
      <c r="T34" s="127" t="str">
        <f t="shared" si="29"/>
        <v/>
      </c>
      <c r="U34" s="126"/>
      <c r="V34" s="126"/>
      <c r="W34" s="126"/>
      <c r="X34" s="128" t="str">
        <f t="shared" si="33"/>
        <v/>
      </c>
      <c r="Y34" s="129" t="str">
        <f t="shared" si="1"/>
        <v/>
      </c>
      <c r="Z34" s="130" t="str">
        <f t="shared" si="30"/>
        <v/>
      </c>
      <c r="AA34" s="129" t="str">
        <f t="shared" si="3"/>
        <v/>
      </c>
      <c r="AB34" s="130" t="str">
        <f t="shared" si="34"/>
        <v/>
      </c>
      <c r="AC34" s="131" t="str">
        <f t="shared" ref="AC34:AC35" si="35">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4"/>
      <c r="B35" s="193"/>
      <c r="C35" s="193"/>
      <c r="D35" s="193"/>
      <c r="E35" s="217"/>
      <c r="F35" s="193"/>
      <c r="G35" s="196"/>
      <c r="H35" s="205"/>
      <c r="I35" s="208"/>
      <c r="J35" s="211"/>
      <c r="K35" s="208">
        <f t="shared" ca="1" si="28"/>
        <v>0</v>
      </c>
      <c r="L35" s="205"/>
      <c r="M35" s="208"/>
      <c r="N35" s="199"/>
      <c r="O35" s="123">
        <v>6</v>
      </c>
      <c r="P35" s="124"/>
      <c r="Q35" s="125" t="str">
        <f t="shared" si="32"/>
        <v/>
      </c>
      <c r="R35" s="126"/>
      <c r="S35" s="126"/>
      <c r="T35" s="127" t="str">
        <f t="shared" si="29"/>
        <v/>
      </c>
      <c r="U35" s="126"/>
      <c r="V35" s="126"/>
      <c r="W35" s="126"/>
      <c r="X35" s="128" t="str">
        <f t="shared" si="33"/>
        <v/>
      </c>
      <c r="Y35" s="129" t="str">
        <f t="shared" si="1"/>
        <v/>
      </c>
      <c r="Z35" s="130" t="str">
        <f t="shared" si="30"/>
        <v/>
      </c>
      <c r="AA35" s="129" t="str">
        <f t="shared" si="3"/>
        <v/>
      </c>
      <c r="AB35" s="130" t="str">
        <f t="shared" si="34"/>
        <v/>
      </c>
      <c r="AC35" s="131" t="str">
        <f t="shared" si="35"/>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2">
        <v>6</v>
      </c>
      <c r="B36" s="191"/>
      <c r="C36" s="191"/>
      <c r="D36" s="191"/>
      <c r="E36" s="215"/>
      <c r="F36" s="191"/>
      <c r="G36" s="194"/>
      <c r="H36" s="203" t="str">
        <f>IF(G36&lt;=0,"",IF(G36&lt;=2,"Muy Baja",IF(G36&lt;=24,"Baja",IF(G36&lt;=500,"Media",IF(G36&lt;=5000,"Alta","Muy Alta")))))</f>
        <v/>
      </c>
      <c r="I36" s="206" t="str">
        <f>IF(H36="","",IF(H36="Muy Baja",0.2,IF(H36="Baja",0.4,IF(H36="Media",0.6,IF(H36="Alta",0.8,IF(H36="Muy Alta",1,))))))</f>
        <v/>
      </c>
      <c r="J36" s="209"/>
      <c r="K36" s="206">
        <f ca="1">IF(NOT(ISERROR(MATCH(J36,'Tabla Impacto'!$B$221:$B$223,0))),'Tabla Impacto'!$F$223&amp;"Por favor no seleccionar los criterios de impacto(Afectación Económica o presupuestal y Pérdida Reputacional)",J36)</f>
        <v>0</v>
      </c>
      <c r="L36" s="203" t="str">
        <f ca="1">IF(OR(K36='Tabla Impacto'!$C$11,K36='Tabla Impacto'!$D$11),"Leve",IF(OR(K36='Tabla Impacto'!$C$12,K36='Tabla Impacto'!$D$12),"Menor",IF(OR(K36='Tabla Impacto'!$C$13,K36='Tabla Impacto'!$D$13),"Moderado",IF(OR(K36='Tabla Impacto'!$C$14,K36='Tabla Impacto'!$D$14),"Mayor",IF(OR(K36='Tabla Impacto'!$C$15,K36='Tabla Impacto'!$D$15),"Catastrófico","")))))</f>
        <v/>
      </c>
      <c r="M36" s="206" t="str">
        <f ca="1">IF(L36="","",IF(L36="Leve",0.2,IF(L36="Menor",0.4,IF(L36="Moderado",0.6,IF(L36="Mayor",0.8,IF(L36="Catastrófico",1,))))))</f>
        <v/>
      </c>
      <c r="N36" s="197" t="str">
        <f ca="1">IF(OR(AND(H36="Muy Baja",L36="Leve"),AND(H36="Muy Baja",L36="Menor"),AND(H36="Baja",L36="Leve")),"Bajo",IF(OR(AND(H36="Muy baja",L36="Moderado"),AND(H36="Baja",L36="Menor"),AND(H36="Baja",L36="Moderado"),AND(H36="Media",L36="Leve"),AND(H36="Media",L36="Menor"),AND(H36="Media",L36="Moderado"),AND(H36="Alta",L36="Leve"),AND(H36="Alta",L36="Menor")),"Moderado",IF(OR(AND(H36="Muy Baja",L36="Mayor"),AND(H36="Baja",L36="Mayor"),AND(H36="Media",L36="Mayor"),AND(H36="Alta",L36="Moderado"),AND(H36="Alta",L36="Mayor"),AND(H36="Muy Alta",L36="Leve"),AND(H36="Muy Alta",L36="Menor"),AND(H36="Muy Alta",L36="Moderado"),AND(H36="Muy Alta",L36="Mayor")),"Alto",IF(OR(AND(H36="Muy Baja",L36="Catastrófico"),AND(H36="Baja",L36="Catastrófico"),AND(H36="Media",L36="Catastrófico"),AND(H36="Alta",L36="Catastrófico"),AND(H36="Muy Alta",L36="Catastrófico")),"Extremo",""))))</f>
        <v/>
      </c>
      <c r="O36" s="123">
        <v>1</v>
      </c>
      <c r="P36" s="124"/>
      <c r="Q36" s="125" t="str">
        <f>IF(OR(R36="Preventivo",R36="Detectivo"),"Probabilidad",IF(R36="Correctivo","Impacto",""))</f>
        <v/>
      </c>
      <c r="R36" s="126"/>
      <c r="S36" s="126"/>
      <c r="T36" s="127" t="str">
        <f>IF(AND(R36="Preventivo",S36="Automático"),"50%",IF(AND(R36="Preventivo",S36="Manual"),"40%",IF(AND(R36="Detectivo",S36="Automático"),"40%",IF(AND(R36="Detectivo",S36="Manual"),"30%",IF(AND(R36="Correctivo",S36="Automático"),"35%",IF(AND(R36="Correctivo",S36="Manual"),"25%",""))))))</f>
        <v/>
      </c>
      <c r="U36" s="126"/>
      <c r="V36" s="126"/>
      <c r="W36" s="126"/>
      <c r="X36" s="128" t="str">
        <f>IFERROR(IF(Q36="Probabilidad",(I36-(+I36*T36)),IF(Q36="Impacto",I36,"")),"")</f>
        <v/>
      </c>
      <c r="Y36" s="129" t="str">
        <f>IFERROR(IF(X36="","",IF(X36&lt;=0.2,"Muy Baja",IF(X36&lt;=0.4,"Baja",IF(X36&lt;=0.6,"Media",IF(X36&lt;=0.8,"Alta","Muy Alta"))))),"")</f>
        <v/>
      </c>
      <c r="Z36" s="130" t="str">
        <f>+X36</f>
        <v/>
      </c>
      <c r="AA36" s="129" t="str">
        <f>IFERROR(IF(AB36="","",IF(AB36&lt;=0.2,"Leve",IF(AB36&lt;=0.4,"Menor",IF(AB36&lt;=0.6,"Moderado",IF(AB36&lt;=0.8,"Mayor","Catastrófico"))))),"")</f>
        <v/>
      </c>
      <c r="AB36" s="130" t="str">
        <f>IFERROR(IF(Q36="Impacto",(M36-(+M36*T36)),IF(Q36="Probabilidad",M36,"")),"")</f>
        <v/>
      </c>
      <c r="AC36" s="131" t="str">
        <f>IFERROR(IF(OR(AND(Y36="Muy Baja",AA36="Leve"),AND(Y36="Muy Baja",AA36="Menor"),AND(Y36="Baja",AA36="Leve")),"Bajo",IF(OR(AND(Y36="Muy baja",AA36="Moderado"),AND(Y36="Baja",AA36="Menor"),AND(Y36="Baja",AA36="Moderado"),AND(Y36="Media",AA36="Leve"),AND(Y36="Media",AA36="Menor"),AND(Y36="Media",AA36="Moderado"),AND(Y36="Alta",AA36="Leve"),AND(Y36="Alta",AA36="Menor")),"Moderado",IF(OR(AND(Y36="Muy Baja",AA36="Mayor"),AND(Y36="Baja",AA36="Mayor"),AND(Y36="Media",AA36="Mayor"),AND(Y36="Alta",AA36="Moderado"),AND(Y36="Alta",AA36="Mayor"),AND(Y36="Muy Alta",AA36="Leve"),AND(Y36="Muy Alta",AA36="Menor"),AND(Y36="Muy Alta",AA36="Moderado"),AND(Y36="Muy Alta",AA36="Mayor")),"Alto",IF(OR(AND(Y36="Muy Baja",AA36="Catastrófico"),AND(Y36="Baja",AA36="Catastrófico"),AND(Y36="Media",AA36="Catastrófico"),AND(Y36="Alta",AA36="Catastrófico"),AND(Y36="Muy Alta",AA36="Catastrófico")),"Extremo","")))),"")</f>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3"/>
      <c r="B37" s="192"/>
      <c r="C37" s="192"/>
      <c r="D37" s="192"/>
      <c r="E37" s="216"/>
      <c r="F37" s="192"/>
      <c r="G37" s="195"/>
      <c r="H37" s="204"/>
      <c r="I37" s="207"/>
      <c r="J37" s="210"/>
      <c r="K37" s="207">
        <f t="shared" ref="K37:K41" ca="1" si="36">IF(NOT(ISERROR(MATCH(J37,_xlfn.ANCHORARRAY(E48),0))),I50&amp;"Por favor no seleccionar los criterios de impacto",J37)</f>
        <v>0</v>
      </c>
      <c r="L37" s="204"/>
      <c r="M37" s="207"/>
      <c r="N37" s="198"/>
      <c r="O37" s="123">
        <v>2</v>
      </c>
      <c r="P37" s="124"/>
      <c r="Q37" s="125" t="str">
        <f>IF(OR(R37="Preventivo",R37="Detectivo"),"Probabilidad",IF(R37="Correctivo","Impacto",""))</f>
        <v/>
      </c>
      <c r="R37" s="126"/>
      <c r="S37" s="126"/>
      <c r="T37" s="127" t="str">
        <f t="shared" ref="T37:T41" si="37">IF(AND(R37="Preventivo",S37="Automático"),"50%",IF(AND(R37="Preventivo",S37="Manual"),"40%",IF(AND(R37="Detectivo",S37="Automático"),"40%",IF(AND(R37="Detectivo",S37="Manual"),"30%",IF(AND(R37="Correctivo",S37="Automático"),"35%",IF(AND(R37="Correctivo",S37="Manual"),"25%",""))))))</f>
        <v/>
      </c>
      <c r="U37" s="126"/>
      <c r="V37" s="126"/>
      <c r="W37" s="126"/>
      <c r="X37" s="128" t="str">
        <f>IFERROR(IF(AND(Q36="Probabilidad",Q37="Probabilidad"),(Z36-(+Z36*T37)),IF(Q37="Probabilidad",(I36-(+I36*T37)),IF(Q37="Impacto",Z36,""))),"")</f>
        <v/>
      </c>
      <c r="Y37" s="129" t="str">
        <f t="shared" si="1"/>
        <v/>
      </c>
      <c r="Z37" s="130" t="str">
        <f t="shared" ref="Z37:Z41" si="38">+X37</f>
        <v/>
      </c>
      <c r="AA37" s="129" t="str">
        <f t="shared" si="3"/>
        <v/>
      </c>
      <c r="AB37" s="130" t="str">
        <f>IFERROR(IF(AND(Q36="Impacto",Q37="Impacto"),(AB30-(+AB30*T37)),IF(Q37="Impacto",($M$36-(+$M$36*T37)),IF(Q37="Probabilidad",AB30,""))),"")</f>
        <v/>
      </c>
      <c r="AC37" s="131" t="str">
        <f t="shared" ref="AC37:AC38" si="39">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3"/>
      <c r="B38" s="192"/>
      <c r="C38" s="192"/>
      <c r="D38" s="192"/>
      <c r="E38" s="216"/>
      <c r="F38" s="192"/>
      <c r="G38" s="195"/>
      <c r="H38" s="204"/>
      <c r="I38" s="207"/>
      <c r="J38" s="210"/>
      <c r="K38" s="207">
        <f t="shared" ca="1" si="36"/>
        <v>0</v>
      </c>
      <c r="L38" s="204"/>
      <c r="M38" s="207"/>
      <c r="N38" s="198"/>
      <c r="O38" s="123">
        <v>3</v>
      </c>
      <c r="P38" s="136"/>
      <c r="Q38" s="125" t="str">
        <f>IF(OR(R38="Preventivo",R38="Detectivo"),"Probabilidad",IF(R38="Correctivo","Impacto",""))</f>
        <v/>
      </c>
      <c r="R38" s="126"/>
      <c r="S38" s="126"/>
      <c r="T38" s="127" t="str">
        <f t="shared" si="37"/>
        <v/>
      </c>
      <c r="U38" s="126"/>
      <c r="V38" s="126"/>
      <c r="W38" s="126"/>
      <c r="X38" s="128" t="str">
        <f>IFERROR(IF(AND(Q37="Probabilidad",Q38="Probabilidad"),(Z37-(+Z37*T38)),IF(AND(Q37="Impacto",Q38="Probabilidad"),(Z36-(+Z36*T38)),IF(Q38="Impacto",Z37,""))),"")</f>
        <v/>
      </c>
      <c r="Y38" s="129" t="str">
        <f t="shared" si="1"/>
        <v/>
      </c>
      <c r="Z38" s="130" t="str">
        <f t="shared" si="38"/>
        <v/>
      </c>
      <c r="AA38" s="129" t="str">
        <f t="shared" si="3"/>
        <v/>
      </c>
      <c r="AB38" s="130" t="str">
        <f>IFERROR(IF(AND(Q37="Impacto",Q38="Impacto"),(AB37-(+AB37*T38)),IF(AND(Q37="Probabilidad",Q38="Impacto"),(AB36-(+AB36*T38)),IF(Q38="Probabilidad",AB37,""))),"")</f>
        <v/>
      </c>
      <c r="AC38" s="131" t="str">
        <f t="shared" si="39"/>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3"/>
      <c r="B39" s="192"/>
      <c r="C39" s="192"/>
      <c r="D39" s="192"/>
      <c r="E39" s="216"/>
      <c r="F39" s="192"/>
      <c r="G39" s="195"/>
      <c r="H39" s="204"/>
      <c r="I39" s="207"/>
      <c r="J39" s="210"/>
      <c r="K39" s="207">
        <f t="shared" ca="1" si="36"/>
        <v>0</v>
      </c>
      <c r="L39" s="204"/>
      <c r="M39" s="207"/>
      <c r="N39" s="198"/>
      <c r="O39" s="123">
        <v>4</v>
      </c>
      <c r="P39" s="124"/>
      <c r="Q39" s="125" t="str">
        <f t="shared" ref="Q39:Q41" si="40">IF(OR(R39="Preventivo",R39="Detectivo"),"Probabilidad",IF(R39="Correctivo","Impacto",""))</f>
        <v/>
      </c>
      <c r="R39" s="126"/>
      <c r="S39" s="126"/>
      <c r="T39" s="127" t="str">
        <f t="shared" si="37"/>
        <v/>
      </c>
      <c r="U39" s="126"/>
      <c r="V39" s="126"/>
      <c r="W39" s="126"/>
      <c r="X39" s="128" t="str">
        <f t="shared" ref="X39:X41" si="41">IFERROR(IF(AND(Q38="Probabilidad",Q39="Probabilidad"),(Z38-(+Z38*T39)),IF(AND(Q38="Impacto",Q39="Probabilidad"),(Z37-(+Z37*T39)),IF(Q39="Impacto",Z38,""))),"")</f>
        <v/>
      </c>
      <c r="Y39" s="129" t="str">
        <f t="shared" si="1"/>
        <v/>
      </c>
      <c r="Z39" s="130" t="str">
        <f t="shared" si="38"/>
        <v/>
      </c>
      <c r="AA39" s="129" t="str">
        <f t="shared" si="3"/>
        <v/>
      </c>
      <c r="AB39" s="130" t="str">
        <f t="shared" ref="AB39:AB41" si="42">IFERROR(IF(AND(Q38="Impacto",Q39="Impacto"),(AB38-(+AB38*T39)),IF(AND(Q38="Probabilidad",Q39="Impacto"),(AB37-(+AB37*T39)),IF(Q39="Probabilidad",AB38,""))),"")</f>
        <v/>
      </c>
      <c r="AC39" s="131" t="str">
        <f>IFERROR(IF(OR(AND(Y39="Muy Baja",AA39="Leve"),AND(Y39="Muy Baja",AA39="Menor"),AND(Y39="Baja",AA39="Leve")),"Bajo",IF(OR(AND(Y39="Muy baja",AA39="Moderado"),AND(Y39="Baja",AA39="Menor"),AND(Y39="Baja",AA39="Moderado"),AND(Y39="Media",AA39="Leve"),AND(Y39="Media",AA39="Menor"),AND(Y39="Media",AA39="Moderado"),AND(Y39="Alta",AA39="Leve"),AND(Y39="Alta",AA39="Menor")),"Moderado",IF(OR(AND(Y39="Muy Baja",AA39="Mayor"),AND(Y39="Baja",AA39="Mayor"),AND(Y39="Media",AA39="Mayor"),AND(Y39="Alta",AA39="Moderado"),AND(Y39="Alta",AA39="Mayor"),AND(Y39="Muy Alta",AA39="Leve"),AND(Y39="Muy Alta",AA39="Menor"),AND(Y39="Muy Alta",AA39="Moderado"),AND(Y39="Muy Alta",AA39="Mayor")),"Alto",IF(OR(AND(Y39="Muy Baja",AA39="Catastrófico"),AND(Y39="Baja",AA39="Catastrófico"),AND(Y39="Media",AA39="Catastrófico"),AND(Y39="Alta",AA39="Catastrófico"),AND(Y39="Muy Alta",AA39="Catastrófico")),"Extremo","")))),"")</f>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3"/>
      <c r="B40" s="192"/>
      <c r="C40" s="192"/>
      <c r="D40" s="192"/>
      <c r="E40" s="216"/>
      <c r="F40" s="192"/>
      <c r="G40" s="195"/>
      <c r="H40" s="204"/>
      <c r="I40" s="207"/>
      <c r="J40" s="210"/>
      <c r="K40" s="207">
        <f t="shared" ca="1" si="36"/>
        <v>0</v>
      </c>
      <c r="L40" s="204"/>
      <c r="M40" s="207"/>
      <c r="N40" s="198"/>
      <c r="O40" s="123">
        <v>5</v>
      </c>
      <c r="P40" s="124"/>
      <c r="Q40" s="125" t="str">
        <f t="shared" si="40"/>
        <v/>
      </c>
      <c r="R40" s="126"/>
      <c r="S40" s="126"/>
      <c r="T40" s="127" t="str">
        <f t="shared" si="37"/>
        <v/>
      </c>
      <c r="U40" s="126"/>
      <c r="V40" s="126"/>
      <c r="W40" s="126"/>
      <c r="X40" s="128" t="str">
        <f t="shared" si="41"/>
        <v/>
      </c>
      <c r="Y40" s="129" t="str">
        <f t="shared" si="1"/>
        <v/>
      </c>
      <c r="Z40" s="130" t="str">
        <f t="shared" si="38"/>
        <v/>
      </c>
      <c r="AA40" s="129" t="str">
        <f t="shared" si="3"/>
        <v/>
      </c>
      <c r="AB40" s="130" t="str">
        <f t="shared" si="42"/>
        <v/>
      </c>
      <c r="AC40" s="131" t="str">
        <f t="shared" ref="AC40" si="43">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4"/>
      <c r="B41" s="193"/>
      <c r="C41" s="193"/>
      <c r="D41" s="193"/>
      <c r="E41" s="217"/>
      <c r="F41" s="193"/>
      <c r="G41" s="196"/>
      <c r="H41" s="205"/>
      <c r="I41" s="208"/>
      <c r="J41" s="211"/>
      <c r="K41" s="208">
        <f t="shared" ca="1" si="36"/>
        <v>0</v>
      </c>
      <c r="L41" s="205"/>
      <c r="M41" s="208"/>
      <c r="N41" s="199"/>
      <c r="O41" s="123">
        <v>6</v>
      </c>
      <c r="P41" s="124"/>
      <c r="Q41" s="125" t="str">
        <f t="shared" si="40"/>
        <v/>
      </c>
      <c r="R41" s="126"/>
      <c r="S41" s="126"/>
      <c r="T41" s="127" t="str">
        <f t="shared" si="37"/>
        <v/>
      </c>
      <c r="U41" s="126"/>
      <c r="V41" s="126"/>
      <c r="W41" s="126"/>
      <c r="X41" s="128" t="str">
        <f t="shared" si="41"/>
        <v/>
      </c>
      <c r="Y41" s="129" t="str">
        <f t="shared" si="1"/>
        <v/>
      </c>
      <c r="Z41" s="130" t="str">
        <f t="shared" si="38"/>
        <v/>
      </c>
      <c r="AA41" s="129" t="str">
        <f>IFERROR(IF(AB41="","",IF(AB41&lt;=0.2,"Leve",IF(AB41&lt;=0.4,"Menor",IF(AB41&lt;=0.6,"Moderado",IF(AB41&lt;=0.8,"Mayor","Catastrófico"))))),"")</f>
        <v/>
      </c>
      <c r="AB41" s="130" t="str">
        <f t="shared" si="42"/>
        <v/>
      </c>
      <c r="AC41" s="131" t="str">
        <f>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2">
        <v>7</v>
      </c>
      <c r="B42" s="191"/>
      <c r="C42" s="191"/>
      <c r="D42" s="191"/>
      <c r="E42" s="215"/>
      <c r="F42" s="191"/>
      <c r="G42" s="194"/>
      <c r="H42" s="203" t="str">
        <f>IF(G42&lt;=0,"",IF(G42&lt;=2,"Muy Baja",IF(G42&lt;=24,"Baja",IF(G42&lt;=500,"Media",IF(G42&lt;=5000,"Alta","Muy Alta")))))</f>
        <v/>
      </c>
      <c r="I42" s="206" t="str">
        <f>IF(H42="","",IF(H42="Muy Baja",0.2,IF(H42="Baja",0.4,IF(H42="Media",0.6,IF(H42="Alta",0.8,IF(H42="Muy Alta",1,))))))</f>
        <v/>
      </c>
      <c r="J42" s="209"/>
      <c r="K42" s="206">
        <f ca="1">IF(NOT(ISERROR(MATCH(J42,'Tabla Impacto'!$B$221:$B$223,0))),'Tabla Impacto'!$F$223&amp;"Por favor no seleccionar los criterios de impacto(Afectación Económica o presupuestal y Pérdida Reputacional)",J42)</f>
        <v>0</v>
      </c>
      <c r="L42" s="203" t="str">
        <f ca="1">IF(OR(K42='Tabla Impacto'!$C$11,K42='Tabla Impacto'!$D$11),"Leve",IF(OR(K42='Tabla Impacto'!$C$12,K42='Tabla Impacto'!$D$12),"Menor",IF(OR(K42='Tabla Impacto'!$C$13,K42='Tabla Impacto'!$D$13),"Moderado",IF(OR(K42='Tabla Impacto'!$C$14,K42='Tabla Impacto'!$D$14),"Mayor",IF(OR(K42='Tabla Impacto'!$C$15,K42='Tabla Impacto'!$D$15),"Catastrófico","")))))</f>
        <v/>
      </c>
      <c r="M42" s="206" t="str">
        <f ca="1">IF(L42="","",IF(L42="Leve",0.2,IF(L42="Menor",0.4,IF(L42="Moderado",0.6,IF(L42="Mayor",0.8,IF(L42="Catastrófico",1,))))))</f>
        <v/>
      </c>
      <c r="N42" s="197" t="str">
        <f ca="1">IF(OR(AND(H42="Muy Baja",L42="Leve"),AND(H42="Muy Baja",L42="Menor"),AND(H42="Baja",L42="Leve")),"Bajo",IF(OR(AND(H42="Muy baja",L42="Moderado"),AND(H42="Baja",L42="Menor"),AND(H42="Baja",L42="Moderado"),AND(H42="Media",L42="Leve"),AND(H42="Media",L42="Menor"),AND(H42="Media",L42="Moderado"),AND(H42="Alta",L42="Leve"),AND(H42="Alta",L42="Menor")),"Moderado",IF(OR(AND(H42="Muy Baja",L42="Mayor"),AND(H42="Baja",L42="Mayor"),AND(H42="Media",L42="Mayor"),AND(H42="Alta",L42="Moderado"),AND(H42="Alta",L42="Mayor"),AND(H42="Muy Alta",L42="Leve"),AND(H42="Muy Alta",L42="Menor"),AND(H42="Muy Alta",L42="Moderado"),AND(H42="Muy Alta",L42="Mayor")),"Alto",IF(OR(AND(H42="Muy Baja",L42="Catastrófico"),AND(H42="Baja",L42="Catastrófico"),AND(H42="Media",L42="Catastrófico"),AND(H42="Alta",L42="Catastrófico"),AND(H42="Muy Alta",L42="Catastrófico")),"Extremo",""))))</f>
        <v/>
      </c>
      <c r="O42" s="123">
        <v>1</v>
      </c>
      <c r="P42" s="124"/>
      <c r="Q42" s="125" t="str">
        <f>IF(OR(R42="Preventivo",R42="Detectivo"),"Probabilidad",IF(R42="Correctivo","Impacto",""))</f>
        <v/>
      </c>
      <c r="R42" s="126"/>
      <c r="S42" s="126"/>
      <c r="T42" s="127" t="str">
        <f>IF(AND(R42="Preventivo",S42="Automático"),"50%",IF(AND(R42="Preventivo",S42="Manual"),"40%",IF(AND(R42="Detectivo",S42="Automático"),"40%",IF(AND(R42="Detectivo",S42="Manual"),"30%",IF(AND(R42="Correctivo",S42="Automático"),"35%",IF(AND(R42="Correctivo",S42="Manual"),"25%",""))))))</f>
        <v/>
      </c>
      <c r="U42" s="126"/>
      <c r="V42" s="126"/>
      <c r="W42" s="126"/>
      <c r="X42" s="128" t="str">
        <f>IFERROR(IF(Q42="Probabilidad",(I42-(+I42*T42)),IF(Q42="Impacto",I42,"")),"")</f>
        <v/>
      </c>
      <c r="Y42" s="129" t="str">
        <f>IFERROR(IF(X42="","",IF(X42&lt;=0.2,"Muy Baja",IF(X42&lt;=0.4,"Baja",IF(X42&lt;=0.6,"Media",IF(X42&lt;=0.8,"Alta","Muy Alta"))))),"")</f>
        <v/>
      </c>
      <c r="Z42" s="130" t="str">
        <f>+X42</f>
        <v/>
      </c>
      <c r="AA42" s="129" t="str">
        <f>IFERROR(IF(AB42="","",IF(AB42&lt;=0.2,"Leve",IF(AB42&lt;=0.4,"Menor",IF(AB42&lt;=0.6,"Moderado",IF(AB42&lt;=0.8,"Mayor","Catastrófico"))))),"")</f>
        <v/>
      </c>
      <c r="AB42" s="130" t="str">
        <f>IFERROR(IF(Q42="Impacto",(M42-(+M42*T42)),IF(Q42="Probabilidad",M42,"")),"")</f>
        <v/>
      </c>
      <c r="AC42" s="131" t="str">
        <f>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3"/>
      <c r="B43" s="192"/>
      <c r="C43" s="192"/>
      <c r="D43" s="192"/>
      <c r="E43" s="216"/>
      <c r="F43" s="192"/>
      <c r="G43" s="195"/>
      <c r="H43" s="204"/>
      <c r="I43" s="207"/>
      <c r="J43" s="210"/>
      <c r="K43" s="207">
        <f t="shared" ref="K43:K47" ca="1" si="44">IF(NOT(ISERROR(MATCH(J43,_xlfn.ANCHORARRAY(E54),0))),I56&amp;"Por favor no seleccionar los criterios de impacto",J43)</f>
        <v>0</v>
      </c>
      <c r="L43" s="204"/>
      <c r="M43" s="207"/>
      <c r="N43" s="198"/>
      <c r="O43" s="123">
        <v>2</v>
      </c>
      <c r="P43" s="124"/>
      <c r="Q43" s="125" t="str">
        <f>IF(OR(R43="Preventivo",R43="Detectivo"),"Probabilidad",IF(R43="Correctivo","Impacto",""))</f>
        <v/>
      </c>
      <c r="R43" s="126"/>
      <c r="S43" s="126"/>
      <c r="T43" s="127" t="str">
        <f t="shared" ref="T43:T47" si="45">IF(AND(R43="Preventivo",S43="Automático"),"50%",IF(AND(R43="Preventivo",S43="Manual"),"40%",IF(AND(R43="Detectivo",S43="Automático"),"40%",IF(AND(R43="Detectivo",S43="Manual"),"30%",IF(AND(R43="Correctivo",S43="Automático"),"35%",IF(AND(R43="Correctivo",S43="Manual"),"25%",""))))))</f>
        <v/>
      </c>
      <c r="U43" s="126"/>
      <c r="V43" s="126"/>
      <c r="W43" s="126"/>
      <c r="X43" s="128" t="str">
        <f>IFERROR(IF(AND(Q42="Probabilidad",Q43="Probabilidad"),(Z42-(+Z42*T43)),IF(Q43="Probabilidad",(I42-(+I42*T43)),IF(Q43="Impacto",Z42,""))),"")</f>
        <v/>
      </c>
      <c r="Y43" s="129" t="str">
        <f t="shared" si="1"/>
        <v/>
      </c>
      <c r="Z43" s="130" t="str">
        <f t="shared" ref="Z43:Z47" si="46">+X43</f>
        <v/>
      </c>
      <c r="AA43" s="129" t="str">
        <f t="shared" si="3"/>
        <v/>
      </c>
      <c r="AB43" s="130" t="str">
        <f>IFERROR(IF(AND(Q42="Impacto",Q43="Impacto"),(AB36-(+AB36*T43)),IF(Q43="Impacto",($M$42-(+$M$42*T43)),IF(Q43="Probabilidad",AB36,""))),"")</f>
        <v/>
      </c>
      <c r="AC43" s="131" t="str">
        <f t="shared" ref="AC43:AC44" si="47">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3"/>
      <c r="B44" s="192"/>
      <c r="C44" s="192"/>
      <c r="D44" s="192"/>
      <c r="E44" s="216"/>
      <c r="F44" s="192"/>
      <c r="G44" s="195"/>
      <c r="H44" s="204"/>
      <c r="I44" s="207"/>
      <c r="J44" s="210"/>
      <c r="K44" s="207">
        <f t="shared" ca="1" si="44"/>
        <v>0</v>
      </c>
      <c r="L44" s="204"/>
      <c r="M44" s="207"/>
      <c r="N44" s="198"/>
      <c r="O44" s="123">
        <v>3</v>
      </c>
      <c r="P44" s="136"/>
      <c r="Q44" s="125" t="str">
        <f>IF(OR(R44="Preventivo",R44="Detectivo"),"Probabilidad",IF(R44="Correctivo","Impacto",""))</f>
        <v/>
      </c>
      <c r="R44" s="126"/>
      <c r="S44" s="126"/>
      <c r="T44" s="127" t="str">
        <f t="shared" si="45"/>
        <v/>
      </c>
      <c r="U44" s="126"/>
      <c r="V44" s="126"/>
      <c r="W44" s="126"/>
      <c r="X44" s="128" t="str">
        <f>IFERROR(IF(AND(Q43="Probabilidad",Q44="Probabilidad"),(Z43-(+Z43*T44)),IF(AND(Q43="Impacto",Q44="Probabilidad"),(Z42-(+Z42*T44)),IF(Q44="Impacto",Z43,""))),"")</f>
        <v/>
      </c>
      <c r="Y44" s="129" t="str">
        <f t="shared" si="1"/>
        <v/>
      </c>
      <c r="Z44" s="130" t="str">
        <f t="shared" si="46"/>
        <v/>
      </c>
      <c r="AA44" s="129" t="str">
        <f t="shared" si="3"/>
        <v/>
      </c>
      <c r="AB44" s="130" t="str">
        <f>IFERROR(IF(AND(Q43="Impacto",Q44="Impacto"),(AB43-(+AB43*T44)),IF(AND(Q43="Probabilidad",Q44="Impacto"),(AB42-(+AB42*T44)),IF(Q44="Probabilidad",AB43,""))),"")</f>
        <v/>
      </c>
      <c r="AC44" s="131" t="str">
        <f t="shared" si="47"/>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3"/>
      <c r="B45" s="192"/>
      <c r="C45" s="192"/>
      <c r="D45" s="192"/>
      <c r="E45" s="216"/>
      <c r="F45" s="192"/>
      <c r="G45" s="195"/>
      <c r="H45" s="204"/>
      <c r="I45" s="207"/>
      <c r="J45" s="210"/>
      <c r="K45" s="207">
        <f t="shared" ca="1" si="44"/>
        <v>0</v>
      </c>
      <c r="L45" s="204"/>
      <c r="M45" s="207"/>
      <c r="N45" s="198"/>
      <c r="O45" s="123">
        <v>4</v>
      </c>
      <c r="P45" s="124"/>
      <c r="Q45" s="125" t="str">
        <f t="shared" ref="Q45:Q47" si="48">IF(OR(R45="Preventivo",R45="Detectivo"),"Probabilidad",IF(R45="Correctivo","Impacto",""))</f>
        <v/>
      </c>
      <c r="R45" s="126"/>
      <c r="S45" s="126"/>
      <c r="T45" s="127" t="str">
        <f t="shared" si="45"/>
        <v/>
      </c>
      <c r="U45" s="126"/>
      <c r="V45" s="126"/>
      <c r="W45" s="126"/>
      <c r="X45" s="128" t="str">
        <f t="shared" ref="X45:X47" si="49">IFERROR(IF(AND(Q44="Probabilidad",Q45="Probabilidad"),(Z44-(+Z44*T45)),IF(AND(Q44="Impacto",Q45="Probabilidad"),(Z43-(+Z43*T45)),IF(Q45="Impacto",Z44,""))),"")</f>
        <v/>
      </c>
      <c r="Y45" s="129" t="str">
        <f t="shared" si="1"/>
        <v/>
      </c>
      <c r="Z45" s="130" t="str">
        <f t="shared" si="46"/>
        <v/>
      </c>
      <c r="AA45" s="129" t="str">
        <f t="shared" si="3"/>
        <v/>
      </c>
      <c r="AB45" s="130" t="str">
        <f t="shared" ref="AB45:AB47" si="50">IFERROR(IF(AND(Q44="Impacto",Q45="Impacto"),(AB44-(+AB44*T45)),IF(AND(Q44="Probabilidad",Q45="Impacto"),(AB43-(+AB43*T45)),IF(Q45="Probabilidad",AB44,""))),"")</f>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3"/>
      <c r="B46" s="192"/>
      <c r="C46" s="192"/>
      <c r="D46" s="192"/>
      <c r="E46" s="216"/>
      <c r="F46" s="192"/>
      <c r="G46" s="195"/>
      <c r="H46" s="204"/>
      <c r="I46" s="207"/>
      <c r="J46" s="210"/>
      <c r="K46" s="207">
        <f t="shared" ca="1" si="44"/>
        <v>0</v>
      </c>
      <c r="L46" s="204"/>
      <c r="M46" s="207"/>
      <c r="N46" s="198"/>
      <c r="O46" s="123">
        <v>5</v>
      </c>
      <c r="P46" s="124"/>
      <c r="Q46" s="125" t="str">
        <f t="shared" si="48"/>
        <v/>
      </c>
      <c r="R46" s="126"/>
      <c r="S46" s="126"/>
      <c r="T46" s="127" t="str">
        <f t="shared" si="45"/>
        <v/>
      </c>
      <c r="U46" s="126"/>
      <c r="V46" s="126"/>
      <c r="W46" s="126"/>
      <c r="X46" s="128" t="str">
        <f t="shared" si="49"/>
        <v/>
      </c>
      <c r="Y46" s="129" t="str">
        <f t="shared" si="1"/>
        <v/>
      </c>
      <c r="Z46" s="130" t="str">
        <f t="shared" si="46"/>
        <v/>
      </c>
      <c r="AA46" s="129" t="str">
        <f t="shared" si="3"/>
        <v/>
      </c>
      <c r="AB46" s="130" t="str">
        <f t="shared" si="50"/>
        <v/>
      </c>
      <c r="AC46" s="131" t="str">
        <f t="shared" ref="AC46:AC47" si="51">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4"/>
      <c r="B47" s="193"/>
      <c r="C47" s="193"/>
      <c r="D47" s="193"/>
      <c r="E47" s="217"/>
      <c r="F47" s="193"/>
      <c r="G47" s="196"/>
      <c r="H47" s="205"/>
      <c r="I47" s="208"/>
      <c r="J47" s="211"/>
      <c r="K47" s="208">
        <f t="shared" ca="1" si="44"/>
        <v>0</v>
      </c>
      <c r="L47" s="205"/>
      <c r="M47" s="208"/>
      <c r="N47" s="199"/>
      <c r="O47" s="123">
        <v>6</v>
      </c>
      <c r="P47" s="124"/>
      <c r="Q47" s="125" t="str">
        <f t="shared" si="48"/>
        <v/>
      </c>
      <c r="R47" s="126"/>
      <c r="S47" s="126"/>
      <c r="T47" s="127" t="str">
        <f t="shared" si="45"/>
        <v/>
      </c>
      <c r="U47" s="126"/>
      <c r="V47" s="126"/>
      <c r="W47" s="126"/>
      <c r="X47" s="128" t="str">
        <f t="shared" si="49"/>
        <v/>
      </c>
      <c r="Y47" s="129" t="str">
        <f t="shared" si="1"/>
        <v/>
      </c>
      <c r="Z47" s="130" t="str">
        <f t="shared" si="46"/>
        <v/>
      </c>
      <c r="AA47" s="129" t="str">
        <f t="shared" si="3"/>
        <v/>
      </c>
      <c r="AB47" s="130" t="str">
        <f t="shared" si="50"/>
        <v/>
      </c>
      <c r="AC47" s="131" t="str">
        <f t="shared" si="51"/>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2">
        <v>8</v>
      </c>
      <c r="B48" s="191"/>
      <c r="C48" s="191"/>
      <c r="D48" s="191"/>
      <c r="E48" s="215"/>
      <c r="F48" s="191"/>
      <c r="G48" s="194"/>
      <c r="H48" s="203" t="str">
        <f>IF(G48&lt;=0,"",IF(G48&lt;=2,"Muy Baja",IF(G48&lt;=24,"Baja",IF(G48&lt;=500,"Media",IF(G48&lt;=5000,"Alta","Muy Alta")))))</f>
        <v/>
      </c>
      <c r="I48" s="206" t="str">
        <f>IF(H48="","",IF(H48="Muy Baja",0.2,IF(H48="Baja",0.4,IF(H48="Media",0.6,IF(H48="Alta",0.8,IF(H48="Muy Alta",1,))))))</f>
        <v/>
      </c>
      <c r="J48" s="209"/>
      <c r="K48" s="206">
        <f ca="1">IF(NOT(ISERROR(MATCH(J48,'Tabla Impacto'!$B$221:$B$223,0))),'Tabla Impacto'!$F$223&amp;"Por favor no seleccionar los criterios de impacto(Afectación Económica o presupuestal y Pérdida Reputacional)",J48)</f>
        <v>0</v>
      </c>
      <c r="L48" s="203" t="str">
        <f ca="1">IF(OR(K48='Tabla Impacto'!$C$11,K48='Tabla Impacto'!$D$11),"Leve",IF(OR(K48='Tabla Impacto'!$C$12,K48='Tabla Impacto'!$D$12),"Menor",IF(OR(K48='Tabla Impacto'!$C$13,K48='Tabla Impacto'!$D$13),"Moderado",IF(OR(K48='Tabla Impacto'!$C$14,K48='Tabla Impacto'!$D$14),"Mayor",IF(OR(K48='Tabla Impacto'!$C$15,K48='Tabla Impacto'!$D$15),"Catastrófico","")))))</f>
        <v/>
      </c>
      <c r="M48" s="206" t="str">
        <f ca="1">IF(L48="","",IF(L48="Leve",0.2,IF(L48="Menor",0.4,IF(L48="Moderado",0.6,IF(L48="Mayor",0.8,IF(L48="Catastrófico",1,))))))</f>
        <v/>
      </c>
      <c r="N48" s="197" t="str">
        <f ca="1">IF(OR(AND(H48="Muy Baja",L48="Leve"),AND(H48="Muy Baja",L48="Menor"),AND(H48="Baja",L48="Leve")),"Bajo",IF(OR(AND(H48="Muy baja",L48="Moderado"),AND(H48="Baja",L48="Menor"),AND(H48="Baja",L48="Moderado"),AND(H48="Media",L48="Leve"),AND(H48="Media",L48="Menor"),AND(H48="Media",L48="Moderado"),AND(H48="Alta",L48="Leve"),AND(H48="Alta",L48="Menor")),"Moderado",IF(OR(AND(H48="Muy Baja",L48="Mayor"),AND(H48="Baja",L48="Mayor"),AND(H48="Media",L48="Mayor"),AND(H48="Alta",L48="Moderado"),AND(H48="Alta",L48="Mayor"),AND(H48="Muy Alta",L48="Leve"),AND(H48="Muy Alta",L48="Menor"),AND(H48="Muy Alta",L48="Moderado"),AND(H48="Muy Alta",L48="Mayor")),"Alto",IF(OR(AND(H48="Muy Baja",L48="Catastrófico"),AND(H48="Baja",L48="Catastrófico"),AND(H48="Media",L48="Catastrófico"),AND(H48="Alta",L48="Catastrófico"),AND(H48="Muy Alta",L48="Catastrófico")),"Extremo",""))))</f>
        <v/>
      </c>
      <c r="O48" s="123">
        <v>1</v>
      </c>
      <c r="P48" s="124"/>
      <c r="Q48" s="125" t="str">
        <f>IF(OR(R48="Preventivo",R48="Detectivo"),"Probabilidad",IF(R48="Correctivo","Impacto",""))</f>
        <v/>
      </c>
      <c r="R48" s="126"/>
      <c r="S48" s="126"/>
      <c r="T48" s="127" t="str">
        <f>IF(AND(R48="Preventivo",S48="Automático"),"50%",IF(AND(R48="Preventivo",S48="Manual"),"40%",IF(AND(R48="Detectivo",S48="Automático"),"40%",IF(AND(R48="Detectivo",S48="Manual"),"30%",IF(AND(R48="Correctivo",S48="Automático"),"35%",IF(AND(R48="Correctivo",S48="Manual"),"25%",""))))))</f>
        <v/>
      </c>
      <c r="U48" s="126"/>
      <c r="V48" s="126"/>
      <c r="W48" s="126"/>
      <c r="X48" s="128" t="str">
        <f>IFERROR(IF(Q48="Probabilidad",(I48-(+I48*T48)),IF(Q48="Impacto",I48,"")),"")</f>
        <v/>
      </c>
      <c r="Y48" s="129" t="str">
        <f>IFERROR(IF(X48="","",IF(X48&lt;=0.2,"Muy Baja",IF(X48&lt;=0.4,"Baja",IF(X48&lt;=0.6,"Media",IF(X48&lt;=0.8,"Alta","Muy Alta"))))),"")</f>
        <v/>
      </c>
      <c r="Z48" s="130" t="str">
        <f>+X48</f>
        <v/>
      </c>
      <c r="AA48" s="129" t="str">
        <f>IFERROR(IF(AB48="","",IF(AB48&lt;=0.2,"Leve",IF(AB48&lt;=0.4,"Menor",IF(AB48&lt;=0.6,"Moderado",IF(AB48&lt;=0.8,"Mayor","Catastrófico"))))),"")</f>
        <v/>
      </c>
      <c r="AB48" s="130" t="str">
        <f>IFERROR(IF(Q48="Impacto",(M48-(+M48*T48)),IF(Q48="Probabilidad",M48,"")),"")</f>
        <v/>
      </c>
      <c r="AC48" s="131" t="str">
        <f>IFERROR(IF(OR(AND(Y48="Muy Baja",AA48="Leve"),AND(Y48="Muy Baja",AA48="Menor"),AND(Y48="Baja",AA48="Leve")),"Bajo",IF(OR(AND(Y48="Muy baja",AA48="Moderado"),AND(Y48="Baja",AA48="Menor"),AND(Y48="Baja",AA48="Moderado"),AND(Y48="Media",AA48="Leve"),AND(Y48="Media",AA48="Menor"),AND(Y48="Media",AA48="Moderado"),AND(Y48="Alta",AA48="Leve"),AND(Y48="Alta",AA48="Menor")),"Moderado",IF(OR(AND(Y48="Muy Baja",AA48="Mayor"),AND(Y48="Baja",AA48="Mayor"),AND(Y48="Media",AA48="Mayor"),AND(Y48="Alta",AA48="Moderado"),AND(Y48="Alta",AA48="Mayor"),AND(Y48="Muy Alta",AA48="Leve"),AND(Y48="Muy Alta",AA48="Menor"),AND(Y48="Muy Alta",AA48="Moderado"),AND(Y48="Muy Alta",AA48="Mayor")),"Alto",IF(OR(AND(Y48="Muy Baja",AA48="Catastrófico"),AND(Y48="Baja",AA48="Catastrófico"),AND(Y48="Media",AA48="Catastrófico"),AND(Y48="Alta",AA48="Catastrófico"),AND(Y48="Muy Alta",AA48="Catastrófico")),"Extremo","")))),"")</f>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3"/>
      <c r="B49" s="192"/>
      <c r="C49" s="192"/>
      <c r="D49" s="192"/>
      <c r="E49" s="216"/>
      <c r="F49" s="192"/>
      <c r="G49" s="195"/>
      <c r="H49" s="204"/>
      <c r="I49" s="207"/>
      <c r="J49" s="210"/>
      <c r="K49" s="207">
        <f ca="1">IF(NOT(ISERROR(MATCH(J49,_xlfn.ANCHORARRAY(E60),0))),I62&amp;"Por favor no seleccionar los criterios de impacto",J49)</f>
        <v>0</v>
      </c>
      <c r="L49" s="204"/>
      <c r="M49" s="207"/>
      <c r="N49" s="198"/>
      <c r="O49" s="123">
        <v>2</v>
      </c>
      <c r="P49" s="124"/>
      <c r="Q49" s="125" t="str">
        <f>IF(OR(R49="Preventivo",R49="Detectivo"),"Probabilidad",IF(R49="Correctivo","Impacto",""))</f>
        <v/>
      </c>
      <c r="R49" s="126"/>
      <c r="S49" s="126"/>
      <c r="T49" s="127" t="str">
        <f t="shared" ref="T49:T53" si="52">IF(AND(R49="Preventivo",S49="Automático"),"50%",IF(AND(R49="Preventivo",S49="Manual"),"40%",IF(AND(R49="Detectivo",S49="Automático"),"40%",IF(AND(R49="Detectivo",S49="Manual"),"30%",IF(AND(R49="Correctivo",S49="Automático"),"35%",IF(AND(R49="Correctivo",S49="Manual"),"25%",""))))))</f>
        <v/>
      </c>
      <c r="U49" s="126"/>
      <c r="V49" s="126"/>
      <c r="W49" s="126"/>
      <c r="X49" s="128" t="str">
        <f>IFERROR(IF(AND(Q48="Probabilidad",Q49="Probabilidad"),(Z48-(+Z48*T49)),IF(Q49="Probabilidad",(I48-(+I48*T49)),IF(Q49="Impacto",Z48,""))),"")</f>
        <v/>
      </c>
      <c r="Y49" s="129" t="str">
        <f t="shared" si="1"/>
        <v/>
      </c>
      <c r="Z49" s="130" t="str">
        <f t="shared" ref="Z49:Z53" si="53">+X49</f>
        <v/>
      </c>
      <c r="AA49" s="129" t="str">
        <f t="shared" si="3"/>
        <v/>
      </c>
      <c r="AB49" s="130" t="str">
        <f>IFERROR(IF(AND(Q48="Impacto",Q49="Impacto"),(AB42-(+AB42*T49)),IF(Q49="Impacto",($M$48-(+$M$48*T49)),IF(Q49="Probabilidad",AB42,""))),"")</f>
        <v/>
      </c>
      <c r="AC49" s="131" t="str">
        <f t="shared" ref="AC49:AC50" si="54">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3"/>
      <c r="B50" s="192"/>
      <c r="C50" s="192"/>
      <c r="D50" s="192"/>
      <c r="E50" s="216"/>
      <c r="F50" s="192"/>
      <c r="G50" s="195"/>
      <c r="H50" s="204"/>
      <c r="I50" s="207"/>
      <c r="J50" s="210"/>
      <c r="K50" s="207">
        <f ca="1">IF(NOT(ISERROR(MATCH(J50,_xlfn.ANCHORARRAY(E61),0))),I63&amp;"Por favor no seleccionar los criterios de impacto",J50)</f>
        <v>0</v>
      </c>
      <c r="L50" s="204"/>
      <c r="M50" s="207"/>
      <c r="N50" s="198"/>
      <c r="O50" s="123">
        <v>3</v>
      </c>
      <c r="P50" s="136"/>
      <c r="Q50" s="125" t="str">
        <f>IF(OR(R50="Preventivo",R50="Detectivo"),"Probabilidad",IF(R50="Correctivo","Impacto",""))</f>
        <v/>
      </c>
      <c r="R50" s="126"/>
      <c r="S50" s="126"/>
      <c r="T50" s="127" t="str">
        <f t="shared" si="52"/>
        <v/>
      </c>
      <c r="U50" s="126"/>
      <c r="V50" s="126"/>
      <c r="W50" s="126"/>
      <c r="X50" s="128" t="str">
        <f>IFERROR(IF(AND(Q49="Probabilidad",Q50="Probabilidad"),(Z49-(+Z49*T50)),IF(AND(Q49="Impacto",Q50="Probabilidad"),(Z48-(+Z48*T50)),IF(Q50="Impacto",Z49,""))),"")</f>
        <v/>
      </c>
      <c r="Y50" s="129" t="str">
        <f t="shared" si="1"/>
        <v/>
      </c>
      <c r="Z50" s="130" t="str">
        <f t="shared" si="53"/>
        <v/>
      </c>
      <c r="AA50" s="129" t="str">
        <f t="shared" si="3"/>
        <v/>
      </c>
      <c r="AB50" s="130" t="str">
        <f>IFERROR(IF(AND(Q49="Impacto",Q50="Impacto"),(AB49-(+AB49*T50)),IF(AND(Q49="Probabilidad",Q50="Impacto"),(AB48-(+AB48*T50)),IF(Q50="Probabilidad",AB49,""))),"")</f>
        <v/>
      </c>
      <c r="AC50" s="131" t="str">
        <f t="shared" si="54"/>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3"/>
      <c r="B51" s="192"/>
      <c r="C51" s="192"/>
      <c r="D51" s="192"/>
      <c r="E51" s="216"/>
      <c r="F51" s="192"/>
      <c r="G51" s="195"/>
      <c r="H51" s="204"/>
      <c r="I51" s="207"/>
      <c r="J51" s="210"/>
      <c r="K51" s="207">
        <f ca="1">IF(NOT(ISERROR(MATCH(J51,_xlfn.ANCHORARRAY(E62),0))),I64&amp;"Por favor no seleccionar los criterios de impacto",J51)</f>
        <v>0</v>
      </c>
      <c r="L51" s="204"/>
      <c r="M51" s="207"/>
      <c r="N51" s="198"/>
      <c r="O51" s="123">
        <v>4</v>
      </c>
      <c r="P51" s="124"/>
      <c r="Q51" s="125" t="str">
        <f t="shared" ref="Q51:Q53" si="55">IF(OR(R51="Preventivo",R51="Detectivo"),"Probabilidad",IF(R51="Correctivo","Impacto",""))</f>
        <v/>
      </c>
      <c r="R51" s="126"/>
      <c r="S51" s="126"/>
      <c r="T51" s="127" t="str">
        <f t="shared" si="52"/>
        <v/>
      </c>
      <c r="U51" s="126"/>
      <c r="V51" s="126"/>
      <c r="W51" s="126"/>
      <c r="X51" s="128" t="str">
        <f t="shared" ref="X51:X53" si="56">IFERROR(IF(AND(Q50="Probabilidad",Q51="Probabilidad"),(Z50-(+Z50*T51)),IF(AND(Q50="Impacto",Q51="Probabilidad"),(Z49-(+Z49*T51)),IF(Q51="Impacto",Z50,""))),"")</f>
        <v/>
      </c>
      <c r="Y51" s="129" t="str">
        <f t="shared" si="1"/>
        <v/>
      </c>
      <c r="Z51" s="130" t="str">
        <f t="shared" si="53"/>
        <v/>
      </c>
      <c r="AA51" s="129" t="str">
        <f t="shared" si="3"/>
        <v/>
      </c>
      <c r="AB51" s="130" t="str">
        <f t="shared" ref="AB51:AB53" si="57">IFERROR(IF(AND(Q50="Impacto",Q51="Impacto"),(AB50-(+AB50*T51)),IF(AND(Q50="Probabilidad",Q51="Impacto"),(AB49-(+AB49*T51)),IF(Q51="Probabilidad",AB50,""))),"")</f>
        <v/>
      </c>
      <c r="AC51" s="131" t="str">
        <f>IFERROR(IF(OR(AND(Y51="Muy Baja",AA51="Leve"),AND(Y51="Muy Baja",AA51="Menor"),AND(Y51="Baja",AA51="Leve")),"Bajo",IF(OR(AND(Y51="Muy baja",AA51="Moderado"),AND(Y51="Baja",AA51="Menor"),AND(Y51="Baja",AA51="Moderado"),AND(Y51="Media",AA51="Leve"),AND(Y51="Media",AA51="Menor"),AND(Y51="Media",AA51="Moderado"),AND(Y51="Alta",AA51="Leve"),AND(Y51="Alta",AA51="Menor")),"Moderado",IF(OR(AND(Y51="Muy Baja",AA51="Mayor"),AND(Y51="Baja",AA51="Mayor"),AND(Y51="Media",AA51="Mayor"),AND(Y51="Alta",AA51="Moderado"),AND(Y51="Alta",AA51="Mayor"),AND(Y51="Muy Alta",AA51="Leve"),AND(Y51="Muy Alta",AA51="Menor"),AND(Y51="Muy Alta",AA51="Moderado"),AND(Y51="Muy Alta",AA51="Mayor")),"Alto",IF(OR(AND(Y51="Muy Baja",AA51="Catastrófico"),AND(Y51="Baja",AA51="Catastrófico"),AND(Y51="Media",AA51="Catastrófico"),AND(Y51="Alta",AA51="Catastrófico"),AND(Y51="Muy Alta",AA51="Catastrófico")),"Extremo","")))),"")</f>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3"/>
      <c r="B52" s="192"/>
      <c r="C52" s="192"/>
      <c r="D52" s="192"/>
      <c r="E52" s="216"/>
      <c r="F52" s="192"/>
      <c r="G52" s="195"/>
      <c r="H52" s="204"/>
      <c r="I52" s="207"/>
      <c r="J52" s="210"/>
      <c r="K52" s="207">
        <f ca="1">IF(NOT(ISERROR(MATCH(J52,_xlfn.ANCHORARRAY(E63),0))),I65&amp;"Por favor no seleccionar los criterios de impacto",J52)</f>
        <v>0</v>
      </c>
      <c r="L52" s="204"/>
      <c r="M52" s="207"/>
      <c r="N52" s="198"/>
      <c r="O52" s="123">
        <v>5</v>
      </c>
      <c r="P52" s="124"/>
      <c r="Q52" s="125" t="str">
        <f t="shared" si="55"/>
        <v/>
      </c>
      <c r="R52" s="126"/>
      <c r="S52" s="126"/>
      <c r="T52" s="127" t="str">
        <f t="shared" si="52"/>
        <v/>
      </c>
      <c r="U52" s="126"/>
      <c r="V52" s="126"/>
      <c r="W52" s="126"/>
      <c r="X52" s="128" t="str">
        <f t="shared" si="56"/>
        <v/>
      </c>
      <c r="Y52" s="129" t="str">
        <f t="shared" si="1"/>
        <v/>
      </c>
      <c r="Z52" s="130" t="str">
        <f t="shared" si="53"/>
        <v/>
      </c>
      <c r="AA52" s="129" t="str">
        <f t="shared" si="3"/>
        <v/>
      </c>
      <c r="AB52" s="130" t="str">
        <f t="shared" si="57"/>
        <v/>
      </c>
      <c r="AC52" s="131" t="str">
        <f t="shared" ref="AC52:AC53" si="58">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4"/>
      <c r="B53" s="193"/>
      <c r="C53" s="193"/>
      <c r="D53" s="193"/>
      <c r="E53" s="217"/>
      <c r="F53" s="193"/>
      <c r="G53" s="196"/>
      <c r="H53" s="205"/>
      <c r="I53" s="208"/>
      <c r="J53" s="211"/>
      <c r="K53" s="208">
        <f ca="1">IF(NOT(ISERROR(MATCH(J53,_xlfn.ANCHORARRAY(E64),0))),I66&amp;"Por favor no seleccionar los criterios de impacto",J53)</f>
        <v>0</v>
      </c>
      <c r="L53" s="205"/>
      <c r="M53" s="208"/>
      <c r="N53" s="199"/>
      <c r="O53" s="123">
        <v>6</v>
      </c>
      <c r="P53" s="124"/>
      <c r="Q53" s="125" t="str">
        <f t="shared" si="55"/>
        <v/>
      </c>
      <c r="R53" s="126"/>
      <c r="S53" s="126"/>
      <c r="T53" s="127" t="str">
        <f t="shared" si="52"/>
        <v/>
      </c>
      <c r="U53" s="126"/>
      <c r="V53" s="126"/>
      <c r="W53" s="126"/>
      <c r="X53" s="128" t="str">
        <f t="shared" si="56"/>
        <v/>
      </c>
      <c r="Y53" s="129" t="str">
        <f t="shared" si="1"/>
        <v/>
      </c>
      <c r="Z53" s="130" t="str">
        <f t="shared" si="53"/>
        <v/>
      </c>
      <c r="AA53" s="129" t="str">
        <f t="shared" si="3"/>
        <v/>
      </c>
      <c r="AB53" s="130" t="str">
        <f t="shared" si="57"/>
        <v/>
      </c>
      <c r="AC53" s="131" t="str">
        <f t="shared" si="58"/>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2">
        <v>9</v>
      </c>
      <c r="B54" s="191"/>
      <c r="C54" s="191"/>
      <c r="D54" s="191"/>
      <c r="E54" s="215"/>
      <c r="F54" s="191"/>
      <c r="G54" s="194"/>
      <c r="H54" s="203" t="str">
        <f>IF(G54&lt;=0,"",IF(G54&lt;=2,"Muy Baja",IF(G54&lt;=24,"Baja",IF(G54&lt;=500,"Media",IF(G54&lt;=5000,"Alta","Muy Alta")))))</f>
        <v/>
      </c>
      <c r="I54" s="206" t="str">
        <f>IF(H54="","",IF(H54="Muy Baja",0.2,IF(H54="Baja",0.4,IF(H54="Media",0.6,IF(H54="Alta",0.8,IF(H54="Muy Alta",1,))))))</f>
        <v/>
      </c>
      <c r="J54" s="209"/>
      <c r="K54" s="206">
        <f ca="1">IF(NOT(ISERROR(MATCH(J54,'Tabla Impacto'!$B$221:$B$223,0))),'Tabla Impacto'!$F$223&amp;"Por favor no seleccionar los criterios de impacto(Afectación Económica o presupuestal y Pérdida Reputacional)",J54)</f>
        <v>0</v>
      </c>
      <c r="L54" s="203" t="str">
        <f ca="1">IF(OR(K54='Tabla Impacto'!$C$11,K54='Tabla Impacto'!$D$11),"Leve",IF(OR(K54='Tabla Impacto'!$C$12,K54='Tabla Impacto'!$D$12),"Menor",IF(OR(K54='Tabla Impacto'!$C$13,K54='Tabla Impacto'!$D$13),"Moderado",IF(OR(K54='Tabla Impacto'!$C$14,K54='Tabla Impacto'!$D$14),"Mayor",IF(OR(K54='Tabla Impacto'!$C$15,K54='Tabla Impacto'!$D$15),"Catastrófico","")))))</f>
        <v/>
      </c>
      <c r="M54" s="206" t="str">
        <f ca="1">IF(L54="","",IF(L54="Leve",0.2,IF(L54="Menor",0.4,IF(L54="Moderado",0.6,IF(L54="Mayor",0.8,IF(L54="Catastrófico",1,))))))</f>
        <v/>
      </c>
      <c r="N54" s="197" t="str">
        <f ca="1">IF(OR(AND(H54="Muy Baja",L54="Leve"),AND(H54="Muy Baja",L54="Menor"),AND(H54="Baja",L54="Leve")),"Bajo",IF(OR(AND(H54="Muy baja",L54="Moderado"),AND(H54="Baja",L54="Menor"),AND(H54="Baja",L54="Moderado"),AND(H54="Media",L54="Leve"),AND(H54="Media",L54="Menor"),AND(H54="Media",L54="Moderado"),AND(H54="Alta",L54="Leve"),AND(H54="Alta",L54="Menor")),"Moderado",IF(OR(AND(H54="Muy Baja",L54="Mayor"),AND(H54="Baja",L54="Mayor"),AND(H54="Media",L54="Mayor"),AND(H54="Alta",L54="Moderado"),AND(H54="Alta",L54="Mayor"),AND(H54="Muy Alta",L54="Leve"),AND(H54="Muy Alta",L54="Menor"),AND(H54="Muy Alta",L54="Moderado"),AND(H54="Muy Alta",L54="Mayor")),"Alto",IF(OR(AND(H54="Muy Baja",L54="Catastrófico"),AND(H54="Baja",L54="Catastrófico"),AND(H54="Media",L54="Catastrófico"),AND(H54="Alta",L54="Catastrófico"),AND(H54="Muy Alta",L54="Catastrófico")),"Extremo",""))))</f>
        <v/>
      </c>
      <c r="O54" s="123">
        <v>1</v>
      </c>
      <c r="P54" s="124"/>
      <c r="Q54" s="125" t="str">
        <f>IF(OR(R54="Preventivo",R54="Detectivo"),"Probabilidad",IF(R54="Correctivo","Impacto",""))</f>
        <v/>
      </c>
      <c r="R54" s="126"/>
      <c r="S54" s="126"/>
      <c r="T54" s="127" t="str">
        <f>IF(AND(R54="Preventivo",S54="Automático"),"50%",IF(AND(R54="Preventivo",S54="Manual"),"40%",IF(AND(R54="Detectivo",S54="Automático"),"40%",IF(AND(R54="Detectivo",S54="Manual"),"30%",IF(AND(R54="Correctivo",S54="Automático"),"35%",IF(AND(R54="Correctivo",S54="Manual"),"25%",""))))))</f>
        <v/>
      </c>
      <c r="U54" s="126"/>
      <c r="V54" s="126"/>
      <c r="W54" s="126"/>
      <c r="X54" s="128" t="str">
        <f>IFERROR(IF(Q54="Probabilidad",(I54-(+I54*T54)),IF(Q54="Impacto",I54,"")),"")</f>
        <v/>
      </c>
      <c r="Y54" s="129" t="str">
        <f>IFERROR(IF(X54="","",IF(X54&lt;=0.2,"Muy Baja",IF(X54&lt;=0.4,"Baja",IF(X54&lt;=0.6,"Media",IF(X54&lt;=0.8,"Alta","Muy Alta"))))),"")</f>
        <v/>
      </c>
      <c r="Z54" s="130" t="str">
        <f>+X54</f>
        <v/>
      </c>
      <c r="AA54" s="129" t="str">
        <f>IFERROR(IF(AB54="","",IF(AB54&lt;=0.2,"Leve",IF(AB54&lt;=0.4,"Menor",IF(AB54&lt;=0.6,"Moderado",IF(AB54&lt;=0.8,"Mayor","Catastrófico"))))),"")</f>
        <v/>
      </c>
      <c r="AB54" s="130" t="str">
        <f>IFERROR(IF(Q54="Impacto",(M54-(+M54*T54)),IF(Q54="Probabilidad",M54,"")),"")</f>
        <v/>
      </c>
      <c r="AC54" s="131" t="str">
        <f>IFERROR(IF(OR(AND(Y54="Muy Baja",AA54="Leve"),AND(Y54="Muy Baja",AA54="Menor"),AND(Y54="Baja",AA54="Leve")),"Bajo",IF(OR(AND(Y54="Muy baja",AA54="Moderado"),AND(Y54="Baja",AA54="Menor"),AND(Y54="Baja",AA54="Moderado"),AND(Y54="Media",AA54="Leve"),AND(Y54="Media",AA54="Menor"),AND(Y54="Media",AA54="Moderado"),AND(Y54="Alta",AA54="Leve"),AND(Y54="Alta",AA54="Menor")),"Moderado",IF(OR(AND(Y54="Muy Baja",AA54="Mayor"),AND(Y54="Baja",AA54="Mayor"),AND(Y54="Media",AA54="Mayor"),AND(Y54="Alta",AA54="Moderado"),AND(Y54="Alta",AA54="Mayor"),AND(Y54="Muy Alta",AA54="Leve"),AND(Y54="Muy Alta",AA54="Menor"),AND(Y54="Muy Alta",AA54="Moderado"),AND(Y54="Muy Alta",AA54="Mayor")),"Alto",IF(OR(AND(Y54="Muy Baja",AA54="Catastrófico"),AND(Y54="Baja",AA54="Catastrófico"),AND(Y54="Media",AA54="Catastrófico"),AND(Y54="Alta",AA54="Catastrófico"),AND(Y54="Muy Alta",AA54="Catastrófico")),"Extremo","")))),"")</f>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3"/>
      <c r="B55" s="192"/>
      <c r="C55" s="192"/>
      <c r="D55" s="192"/>
      <c r="E55" s="216"/>
      <c r="F55" s="192"/>
      <c r="G55" s="195"/>
      <c r="H55" s="204"/>
      <c r="I55" s="207"/>
      <c r="J55" s="210"/>
      <c r="K55" s="207">
        <f ca="1">IF(NOT(ISERROR(MATCH(J55,_xlfn.ANCHORARRAY(E66),0))),I68&amp;"Por favor no seleccionar los criterios de impacto",J55)</f>
        <v>0</v>
      </c>
      <c r="L55" s="204"/>
      <c r="M55" s="207"/>
      <c r="N55" s="198"/>
      <c r="O55" s="123">
        <v>2</v>
      </c>
      <c r="P55" s="124"/>
      <c r="Q55" s="125" t="str">
        <f>IF(OR(R55="Preventivo",R55="Detectivo"),"Probabilidad",IF(R55="Correctivo","Impacto",""))</f>
        <v/>
      </c>
      <c r="R55" s="126"/>
      <c r="S55" s="126"/>
      <c r="T55" s="127" t="str">
        <f t="shared" ref="T55:T59" si="59">IF(AND(R55="Preventivo",S55="Automático"),"50%",IF(AND(R55="Preventivo",S55="Manual"),"40%",IF(AND(R55="Detectivo",S55="Automático"),"40%",IF(AND(R55="Detectivo",S55="Manual"),"30%",IF(AND(R55="Correctivo",S55="Automático"),"35%",IF(AND(R55="Correctivo",S55="Manual"),"25%",""))))))</f>
        <v/>
      </c>
      <c r="U55" s="126"/>
      <c r="V55" s="126"/>
      <c r="W55" s="126"/>
      <c r="X55" s="128" t="str">
        <f>IFERROR(IF(AND(Q54="Probabilidad",Q55="Probabilidad"),(Z54-(+Z54*T55)),IF(Q55="Probabilidad",(I54-(+I54*T55)),IF(Q55="Impacto",Z54,""))),"")</f>
        <v/>
      </c>
      <c r="Y55" s="129" t="str">
        <f t="shared" si="1"/>
        <v/>
      </c>
      <c r="Z55" s="130" t="str">
        <f t="shared" ref="Z55:Z59" si="60">+X55</f>
        <v/>
      </c>
      <c r="AA55" s="129" t="str">
        <f t="shared" si="3"/>
        <v/>
      </c>
      <c r="AB55" s="130" t="str">
        <f>IFERROR(IF(AND(Q54="Impacto",Q55="Impacto"),(AB48-(+AB48*T55)),IF(Q55="Impacto",($M$54-(+$M$54*T55)),IF(Q55="Probabilidad",AB48,""))),"")</f>
        <v/>
      </c>
      <c r="AC55" s="131" t="str">
        <f t="shared" ref="AC55:AC56" si="61">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3"/>
      <c r="B56" s="192"/>
      <c r="C56" s="192"/>
      <c r="D56" s="192"/>
      <c r="E56" s="216"/>
      <c r="F56" s="192"/>
      <c r="G56" s="195"/>
      <c r="H56" s="204"/>
      <c r="I56" s="207"/>
      <c r="J56" s="210"/>
      <c r="K56" s="207">
        <f ca="1">IF(NOT(ISERROR(MATCH(J56,_xlfn.ANCHORARRAY(E67),0))),I69&amp;"Por favor no seleccionar los criterios de impacto",J56)</f>
        <v>0</v>
      </c>
      <c r="L56" s="204"/>
      <c r="M56" s="207"/>
      <c r="N56" s="198"/>
      <c r="O56" s="123">
        <v>3</v>
      </c>
      <c r="P56" s="136"/>
      <c r="Q56" s="125" t="str">
        <f>IF(OR(R56="Preventivo",R56="Detectivo"),"Probabilidad",IF(R56="Correctivo","Impacto",""))</f>
        <v/>
      </c>
      <c r="R56" s="126"/>
      <c r="S56" s="126"/>
      <c r="T56" s="127" t="str">
        <f t="shared" si="59"/>
        <v/>
      </c>
      <c r="U56" s="126"/>
      <c r="V56" s="126"/>
      <c r="W56" s="126"/>
      <c r="X56" s="128" t="str">
        <f>IFERROR(IF(AND(Q55="Probabilidad",Q56="Probabilidad"),(Z55-(+Z55*T56)),IF(AND(Q55="Impacto",Q56="Probabilidad"),(Z54-(+Z54*T56)),IF(Q56="Impacto",Z55,""))),"")</f>
        <v/>
      </c>
      <c r="Y56" s="129" t="str">
        <f t="shared" si="1"/>
        <v/>
      </c>
      <c r="Z56" s="130" t="str">
        <f t="shared" si="60"/>
        <v/>
      </c>
      <c r="AA56" s="129" t="str">
        <f t="shared" si="3"/>
        <v/>
      </c>
      <c r="AB56" s="130" t="str">
        <f>IFERROR(IF(AND(Q55="Impacto",Q56="Impacto"),(AB55-(+AB55*T56)),IF(AND(Q55="Probabilidad",Q56="Impacto"),(AB54-(+AB54*T56)),IF(Q56="Probabilidad",AB55,""))),"")</f>
        <v/>
      </c>
      <c r="AC56" s="131" t="str">
        <f t="shared" si="61"/>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3"/>
      <c r="B57" s="192"/>
      <c r="C57" s="192"/>
      <c r="D57" s="192"/>
      <c r="E57" s="216"/>
      <c r="F57" s="192"/>
      <c r="G57" s="195"/>
      <c r="H57" s="204"/>
      <c r="I57" s="207"/>
      <c r="J57" s="210"/>
      <c r="K57" s="207">
        <f ca="1">IF(NOT(ISERROR(MATCH(J57,_xlfn.ANCHORARRAY(E68),0))),I70&amp;"Por favor no seleccionar los criterios de impacto",J57)</f>
        <v>0</v>
      </c>
      <c r="L57" s="204"/>
      <c r="M57" s="207"/>
      <c r="N57" s="198"/>
      <c r="O57" s="123">
        <v>4</v>
      </c>
      <c r="P57" s="124"/>
      <c r="Q57" s="125" t="str">
        <f t="shared" ref="Q57:Q59" si="62">IF(OR(R57="Preventivo",R57="Detectivo"),"Probabilidad",IF(R57="Correctivo","Impacto",""))</f>
        <v/>
      </c>
      <c r="R57" s="126"/>
      <c r="S57" s="126"/>
      <c r="T57" s="127" t="str">
        <f t="shared" si="59"/>
        <v/>
      </c>
      <c r="U57" s="126"/>
      <c r="V57" s="126"/>
      <c r="W57" s="126"/>
      <c r="X57" s="128" t="str">
        <f t="shared" ref="X57:X59" si="63">IFERROR(IF(AND(Q56="Probabilidad",Q57="Probabilidad"),(Z56-(+Z56*T57)),IF(AND(Q56="Impacto",Q57="Probabilidad"),(Z55-(+Z55*T57)),IF(Q57="Impacto",Z56,""))),"")</f>
        <v/>
      </c>
      <c r="Y57" s="129" t="str">
        <f t="shared" si="1"/>
        <v/>
      </c>
      <c r="Z57" s="130" t="str">
        <f t="shared" si="60"/>
        <v/>
      </c>
      <c r="AA57" s="129" t="str">
        <f t="shared" si="3"/>
        <v/>
      </c>
      <c r="AB57" s="130" t="str">
        <f t="shared" ref="AB57:AB59" si="64">IFERROR(IF(AND(Q56="Impacto",Q57="Impacto"),(AB56-(+AB56*T57)),IF(AND(Q56="Probabilidad",Q57="Impacto"),(AB55-(+AB55*T57)),IF(Q57="Probabilidad",AB56,""))),"")</f>
        <v/>
      </c>
      <c r="AC57" s="131" t="str">
        <f>IFERROR(IF(OR(AND(Y57="Muy Baja",AA57="Leve"),AND(Y57="Muy Baja",AA57="Menor"),AND(Y57="Baja",AA57="Leve")),"Bajo",IF(OR(AND(Y57="Muy baja",AA57="Moderado"),AND(Y57="Baja",AA57="Menor"),AND(Y57="Baja",AA57="Moderado"),AND(Y57="Media",AA57="Leve"),AND(Y57="Media",AA57="Menor"),AND(Y57="Media",AA57="Moderado"),AND(Y57="Alta",AA57="Leve"),AND(Y57="Alta",AA57="Menor")),"Moderado",IF(OR(AND(Y57="Muy Baja",AA57="Mayor"),AND(Y57="Baja",AA57="Mayor"),AND(Y57="Media",AA57="Mayor"),AND(Y57="Alta",AA57="Moderado"),AND(Y57="Alta",AA57="Mayor"),AND(Y57="Muy Alta",AA57="Leve"),AND(Y57="Muy Alta",AA57="Menor"),AND(Y57="Muy Alta",AA57="Moderado"),AND(Y57="Muy Alta",AA57="Mayor")),"Alto",IF(OR(AND(Y57="Muy Baja",AA57="Catastrófico"),AND(Y57="Baja",AA57="Catastrófico"),AND(Y57="Media",AA57="Catastrófico"),AND(Y57="Alta",AA57="Catastrófico"),AND(Y57="Muy Alta",AA57="Catastrófico")),"Extremo","")))),"")</f>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3"/>
      <c r="B58" s="192"/>
      <c r="C58" s="192"/>
      <c r="D58" s="192"/>
      <c r="E58" s="216"/>
      <c r="F58" s="192"/>
      <c r="G58" s="195"/>
      <c r="H58" s="204"/>
      <c r="I58" s="207"/>
      <c r="J58" s="210"/>
      <c r="K58" s="207">
        <f ca="1">IF(NOT(ISERROR(MATCH(J58,_xlfn.ANCHORARRAY(E69),0))),I71&amp;"Por favor no seleccionar los criterios de impacto",J58)</f>
        <v>0</v>
      </c>
      <c r="L58" s="204"/>
      <c r="M58" s="207"/>
      <c r="N58" s="198"/>
      <c r="O58" s="123">
        <v>5</v>
      </c>
      <c r="P58" s="124"/>
      <c r="Q58" s="125" t="str">
        <f t="shared" si="62"/>
        <v/>
      </c>
      <c r="R58" s="126"/>
      <c r="S58" s="126"/>
      <c r="T58" s="127" t="str">
        <f t="shared" si="59"/>
        <v/>
      </c>
      <c r="U58" s="126"/>
      <c r="V58" s="126"/>
      <c r="W58" s="126"/>
      <c r="X58" s="128" t="str">
        <f t="shared" si="63"/>
        <v/>
      </c>
      <c r="Y58" s="129" t="str">
        <f t="shared" si="1"/>
        <v/>
      </c>
      <c r="Z58" s="130" t="str">
        <f t="shared" si="60"/>
        <v/>
      </c>
      <c r="AA58" s="129" t="str">
        <f t="shared" si="3"/>
        <v/>
      </c>
      <c r="AB58" s="130" t="str">
        <f t="shared" si="64"/>
        <v/>
      </c>
      <c r="AC58" s="131" t="str">
        <f t="shared" ref="AC58:AC59" si="65">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4"/>
      <c r="B59" s="193"/>
      <c r="C59" s="193"/>
      <c r="D59" s="193"/>
      <c r="E59" s="217"/>
      <c r="F59" s="193"/>
      <c r="G59" s="196"/>
      <c r="H59" s="205"/>
      <c r="I59" s="208"/>
      <c r="J59" s="211"/>
      <c r="K59" s="208">
        <f ca="1">IF(NOT(ISERROR(MATCH(J59,_xlfn.ANCHORARRAY(E70),0))),I72&amp;"Por favor no seleccionar los criterios de impacto",J59)</f>
        <v>0</v>
      </c>
      <c r="L59" s="205"/>
      <c r="M59" s="208"/>
      <c r="N59" s="199"/>
      <c r="O59" s="123">
        <v>6</v>
      </c>
      <c r="P59" s="124"/>
      <c r="Q59" s="125" t="str">
        <f t="shared" si="62"/>
        <v/>
      </c>
      <c r="R59" s="126"/>
      <c r="S59" s="126"/>
      <c r="T59" s="127" t="str">
        <f t="shared" si="59"/>
        <v/>
      </c>
      <c r="U59" s="126"/>
      <c r="V59" s="126"/>
      <c r="W59" s="126"/>
      <c r="X59" s="128" t="str">
        <f t="shared" si="63"/>
        <v/>
      </c>
      <c r="Y59" s="129" t="str">
        <f t="shared" si="1"/>
        <v/>
      </c>
      <c r="Z59" s="130" t="str">
        <f t="shared" si="60"/>
        <v/>
      </c>
      <c r="AA59" s="129" t="str">
        <f t="shared" si="3"/>
        <v/>
      </c>
      <c r="AB59" s="130" t="str">
        <f t="shared" si="64"/>
        <v/>
      </c>
      <c r="AC59" s="131" t="str">
        <f t="shared" si="65"/>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2">
        <v>10</v>
      </c>
      <c r="B60" s="191"/>
      <c r="C60" s="191"/>
      <c r="D60" s="191"/>
      <c r="E60" s="215"/>
      <c r="F60" s="191"/>
      <c r="G60" s="194"/>
      <c r="H60" s="203" t="str">
        <f>IF(G60&lt;=0,"",IF(G60&lt;=2,"Muy Baja",IF(G60&lt;=24,"Baja",IF(G60&lt;=500,"Media",IF(G60&lt;=5000,"Alta","Muy Alta")))))</f>
        <v/>
      </c>
      <c r="I60" s="206" t="str">
        <f>IF(H60="","",IF(H60="Muy Baja",0.2,IF(H60="Baja",0.4,IF(H60="Media",0.6,IF(H60="Alta",0.8,IF(H60="Muy Alta",1,))))))</f>
        <v/>
      </c>
      <c r="J60" s="209"/>
      <c r="K60" s="206">
        <f ca="1">IF(NOT(ISERROR(MATCH(J60,'Tabla Impacto'!$B$221:$B$223,0))),'Tabla Impacto'!$F$223&amp;"Por favor no seleccionar los criterios de impacto(Afectación Económica o presupuestal y Pérdida Reputacional)",J60)</f>
        <v>0</v>
      </c>
      <c r="L60" s="203" t="str">
        <f ca="1">IF(OR(K60='Tabla Impacto'!$C$11,K60='Tabla Impacto'!$D$11),"Leve",IF(OR(K60='Tabla Impacto'!$C$12,K60='Tabla Impacto'!$D$12),"Menor",IF(OR(K60='Tabla Impacto'!$C$13,K60='Tabla Impacto'!$D$13),"Moderado",IF(OR(K60='Tabla Impacto'!$C$14,K60='Tabla Impacto'!$D$14),"Mayor",IF(OR(K60='Tabla Impacto'!$C$15,K60='Tabla Impacto'!$D$15),"Catastrófico","")))))</f>
        <v/>
      </c>
      <c r="M60" s="206" t="str">
        <f ca="1">IF(L60="","",IF(L60="Leve",0.2,IF(L60="Menor",0.4,IF(L60="Moderado",0.6,IF(L60="Mayor",0.8,IF(L60="Catastrófico",1,))))))</f>
        <v/>
      </c>
      <c r="N60" s="197" t="str">
        <f ca="1">IF(OR(AND(H60="Muy Baja",L60="Leve"),AND(H60="Muy Baja",L60="Menor"),AND(H60="Baja",L60="Leve")),"Bajo",IF(OR(AND(H60="Muy baja",L60="Moderado"),AND(H60="Baja",L60="Menor"),AND(H60="Baja",L60="Moderado"),AND(H60="Media",L60="Leve"),AND(H60="Media",L60="Menor"),AND(H60="Media",L60="Moderado"),AND(H60="Alta",L60="Leve"),AND(H60="Alta",L60="Menor")),"Moderado",IF(OR(AND(H60="Muy Baja",L60="Mayor"),AND(H60="Baja",L60="Mayor"),AND(H60="Media",L60="Mayor"),AND(H60="Alta",L60="Moderado"),AND(H60="Alta",L60="Mayor"),AND(H60="Muy Alta",L60="Leve"),AND(H60="Muy Alta",L60="Menor"),AND(H60="Muy Alta",L60="Moderado"),AND(H60="Muy Alta",L60="Mayor")),"Alto",IF(OR(AND(H60="Muy Baja",L60="Catastrófico"),AND(H60="Baja",L60="Catastrófico"),AND(H60="Media",L60="Catastrófico"),AND(H60="Alta",L60="Catastrófico"),AND(H60="Muy Alta",L60="Catastrófico")),"Extremo",""))))</f>
        <v/>
      </c>
      <c r="O60" s="123">
        <v>1</v>
      </c>
      <c r="P60" s="124"/>
      <c r="Q60" s="125" t="str">
        <f>IF(OR(R60="Preventivo",R60="Detectivo"),"Probabilidad",IF(R60="Correctivo","Impacto",""))</f>
        <v/>
      </c>
      <c r="R60" s="126"/>
      <c r="S60" s="126"/>
      <c r="T60" s="127" t="str">
        <f>IF(AND(R60="Preventivo",S60="Automático"),"50%",IF(AND(R60="Preventivo",S60="Manual"),"40%",IF(AND(R60="Detectivo",S60="Automático"),"40%",IF(AND(R60="Detectivo",S60="Manual"),"30%",IF(AND(R60="Correctivo",S60="Automático"),"35%",IF(AND(R60="Correctivo",S60="Manual"),"25%",""))))))</f>
        <v/>
      </c>
      <c r="U60" s="126"/>
      <c r="V60" s="126"/>
      <c r="W60" s="126"/>
      <c r="X60" s="128" t="str">
        <f>IFERROR(IF(Q60="Probabilidad",(I60-(+I60*T60)),IF(Q60="Impacto",I60,"")),"")</f>
        <v/>
      </c>
      <c r="Y60" s="129" t="str">
        <f>IFERROR(IF(X60="","",IF(X60&lt;=0.2,"Muy Baja",IF(X60&lt;=0.4,"Baja",IF(X60&lt;=0.6,"Media",IF(X60&lt;=0.8,"Alta","Muy Alta"))))),"")</f>
        <v/>
      </c>
      <c r="Z60" s="130" t="str">
        <f>+X60</f>
        <v/>
      </c>
      <c r="AA60" s="129" t="str">
        <f>IFERROR(IF(AB60="","",IF(AB60&lt;=0.2,"Leve",IF(AB60&lt;=0.4,"Menor",IF(AB60&lt;=0.6,"Moderado",IF(AB60&lt;=0.8,"Mayor","Catastrófico"))))),"")</f>
        <v/>
      </c>
      <c r="AB60" s="130" t="str">
        <f>IFERROR(IF(Q60="Impacto",(M60-(+M60*T60)),IF(Q60="Probabilidad",M60,"")),"")</f>
        <v/>
      </c>
      <c r="AC60" s="131" t="str">
        <f>IFERROR(IF(OR(AND(Y60="Muy Baja",AA60="Leve"),AND(Y60="Muy Baja",AA60="Menor"),AND(Y60="Baja",AA60="Leve")),"Bajo",IF(OR(AND(Y60="Muy baja",AA60="Moderado"),AND(Y60="Baja",AA60="Menor"),AND(Y60="Baja",AA60="Moderado"),AND(Y60="Media",AA60="Leve"),AND(Y60="Media",AA60="Menor"),AND(Y60="Media",AA60="Moderado"),AND(Y60="Alta",AA60="Leve"),AND(Y60="Alta",AA60="Menor")),"Moderado",IF(OR(AND(Y60="Muy Baja",AA60="Mayor"),AND(Y60="Baja",AA60="Mayor"),AND(Y60="Media",AA60="Mayor"),AND(Y60="Alta",AA60="Moderado"),AND(Y60="Alta",AA60="Mayor"),AND(Y60="Muy Alta",AA60="Leve"),AND(Y60="Muy Alta",AA60="Menor"),AND(Y60="Muy Alta",AA60="Moderado"),AND(Y60="Muy Alta",AA60="Mayor")),"Alto",IF(OR(AND(Y60="Muy Baja",AA60="Catastrófico"),AND(Y60="Baja",AA60="Catastrófico"),AND(Y60="Media",AA60="Catastrófico"),AND(Y60="Alta",AA60="Catastrófico"),AND(Y60="Muy Alta",AA60="Catastrófico")),"Extremo","")))),"")</f>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3"/>
      <c r="B61" s="192"/>
      <c r="C61" s="192"/>
      <c r="D61" s="192"/>
      <c r="E61" s="216"/>
      <c r="F61" s="192"/>
      <c r="G61" s="195"/>
      <c r="H61" s="204"/>
      <c r="I61" s="207"/>
      <c r="J61" s="210"/>
      <c r="K61" s="207">
        <f ca="1">IF(NOT(ISERROR(MATCH(J61,_xlfn.ANCHORARRAY(E72),0))),I74&amp;"Por favor no seleccionar los criterios de impacto",J61)</f>
        <v>0</v>
      </c>
      <c r="L61" s="204"/>
      <c r="M61" s="207"/>
      <c r="N61" s="198"/>
      <c r="O61" s="123">
        <v>2</v>
      </c>
      <c r="P61" s="124"/>
      <c r="Q61" s="125" t="str">
        <f>IF(OR(R61="Preventivo",R61="Detectivo"),"Probabilidad",IF(R61="Correctivo","Impacto",""))</f>
        <v/>
      </c>
      <c r="R61" s="126"/>
      <c r="S61" s="126"/>
      <c r="T61" s="127" t="str">
        <f t="shared" ref="T61:T65" si="66">IF(AND(R61="Preventivo",S61="Automático"),"50%",IF(AND(R61="Preventivo",S61="Manual"),"40%",IF(AND(R61="Detectivo",S61="Automático"),"40%",IF(AND(R61="Detectivo",S61="Manual"),"30%",IF(AND(R61="Correctivo",S61="Automático"),"35%",IF(AND(R61="Correctivo",S61="Manual"),"25%",""))))))</f>
        <v/>
      </c>
      <c r="U61" s="126"/>
      <c r="V61" s="126"/>
      <c r="W61" s="126"/>
      <c r="X61" s="128" t="str">
        <f>IFERROR(IF(AND(Q60="Probabilidad",Q61="Probabilidad"),(Z60-(+Z60*T61)),IF(Q61="Probabilidad",(I60-(+I60*T61)),IF(Q61="Impacto",Z60,""))),"")</f>
        <v/>
      </c>
      <c r="Y61" s="129" t="str">
        <f t="shared" si="1"/>
        <v/>
      </c>
      <c r="Z61" s="130" t="str">
        <f t="shared" ref="Z61:Z65" si="67">+X61</f>
        <v/>
      </c>
      <c r="AA61" s="129" t="str">
        <f t="shared" si="3"/>
        <v/>
      </c>
      <c r="AB61" s="130" t="str">
        <f>IFERROR(IF(AND(Q60="Impacto",Q61="Impacto"),(AB54-(+AB54*T61)),IF(Q61="Impacto",($M$60-(+$M$60*T61)),IF(Q61="Probabilidad",AB54,""))),"")</f>
        <v/>
      </c>
      <c r="AC61" s="131" t="str">
        <f t="shared" ref="AC61:AC62" si="68">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row>
    <row r="62" spans="1:68" ht="151.5" customHeight="1" x14ac:dyDescent="0.3">
      <c r="A62" s="213"/>
      <c r="B62" s="192"/>
      <c r="C62" s="192"/>
      <c r="D62" s="192"/>
      <c r="E62" s="216"/>
      <c r="F62" s="192"/>
      <c r="G62" s="195"/>
      <c r="H62" s="204"/>
      <c r="I62" s="207"/>
      <c r="J62" s="210"/>
      <c r="K62" s="207">
        <f ca="1">IF(NOT(ISERROR(MATCH(J62,_xlfn.ANCHORARRAY(E73),0))),I75&amp;"Por favor no seleccionar los criterios de impacto",J62)</f>
        <v>0</v>
      </c>
      <c r="L62" s="204"/>
      <c r="M62" s="207"/>
      <c r="N62" s="198"/>
      <c r="O62" s="123">
        <v>3</v>
      </c>
      <c r="P62" s="136"/>
      <c r="Q62" s="125" t="str">
        <f>IF(OR(R62="Preventivo",R62="Detectivo"),"Probabilidad",IF(R62="Correctivo","Impacto",""))</f>
        <v/>
      </c>
      <c r="R62" s="126"/>
      <c r="S62" s="126"/>
      <c r="T62" s="127" t="str">
        <f t="shared" si="66"/>
        <v/>
      </c>
      <c r="U62" s="126"/>
      <c r="V62" s="126"/>
      <c r="W62" s="126"/>
      <c r="X62" s="128" t="str">
        <f>IFERROR(IF(AND(Q61="Probabilidad",Q62="Probabilidad"),(Z61-(+Z61*T62)),IF(AND(Q61="Impacto",Q62="Probabilidad"),(Z60-(+Z60*T62)),IF(Q62="Impacto",Z61,""))),"")</f>
        <v/>
      </c>
      <c r="Y62" s="129" t="str">
        <f t="shared" si="1"/>
        <v/>
      </c>
      <c r="Z62" s="130" t="str">
        <f t="shared" si="67"/>
        <v/>
      </c>
      <c r="AA62" s="129" t="str">
        <f t="shared" si="3"/>
        <v/>
      </c>
      <c r="AB62" s="130" t="str">
        <f>IFERROR(IF(AND(Q61="Impacto",Q62="Impacto"),(AB61-(+AB61*T62)),IF(AND(Q61="Probabilidad",Q62="Impacto"),(AB60-(+AB60*T62)),IF(Q62="Probabilidad",AB61,""))),"")</f>
        <v/>
      </c>
      <c r="AC62" s="131" t="str">
        <f t="shared" si="68"/>
        <v/>
      </c>
      <c r="AD62" s="132"/>
      <c r="AE62" s="133"/>
      <c r="AF62" s="134"/>
      <c r="AG62" s="135"/>
      <c r="AH62" s="135"/>
      <c r="AI62" s="133"/>
      <c r="AJ62" s="134"/>
    </row>
    <row r="63" spans="1:68" ht="151.5" customHeight="1" x14ac:dyDescent="0.3">
      <c r="A63" s="213"/>
      <c r="B63" s="192"/>
      <c r="C63" s="192"/>
      <c r="D63" s="192"/>
      <c r="E63" s="216"/>
      <c r="F63" s="192"/>
      <c r="G63" s="195"/>
      <c r="H63" s="204"/>
      <c r="I63" s="207"/>
      <c r="J63" s="210"/>
      <c r="K63" s="207">
        <f ca="1">IF(NOT(ISERROR(MATCH(J63,_xlfn.ANCHORARRAY(E74),0))),I76&amp;"Por favor no seleccionar los criterios de impacto",J63)</f>
        <v>0</v>
      </c>
      <c r="L63" s="204"/>
      <c r="M63" s="207"/>
      <c r="N63" s="198"/>
      <c r="O63" s="123">
        <v>4</v>
      </c>
      <c r="P63" s="124"/>
      <c r="Q63" s="125" t="str">
        <f t="shared" ref="Q63:Q65" si="69">IF(OR(R63="Preventivo",R63="Detectivo"),"Probabilidad",IF(R63="Correctivo","Impacto",""))</f>
        <v/>
      </c>
      <c r="R63" s="126"/>
      <c r="S63" s="126"/>
      <c r="T63" s="127" t="str">
        <f t="shared" si="66"/>
        <v/>
      </c>
      <c r="U63" s="126"/>
      <c r="V63" s="126"/>
      <c r="W63" s="126"/>
      <c r="X63" s="128" t="str">
        <f t="shared" ref="X63:X65" si="70">IFERROR(IF(AND(Q62="Probabilidad",Q63="Probabilidad"),(Z62-(+Z62*T63)),IF(AND(Q62="Impacto",Q63="Probabilidad"),(Z61-(+Z61*T63)),IF(Q63="Impacto",Z62,""))),"")</f>
        <v/>
      </c>
      <c r="Y63" s="129" t="str">
        <f t="shared" si="1"/>
        <v/>
      </c>
      <c r="Z63" s="130" t="str">
        <f t="shared" si="67"/>
        <v/>
      </c>
      <c r="AA63" s="129" t="str">
        <f t="shared" si="3"/>
        <v/>
      </c>
      <c r="AB63" s="130" t="str">
        <f t="shared" ref="AB63:AB65" si="71">IFERROR(IF(AND(Q62="Impacto",Q63="Impacto"),(AB62-(+AB62*T63)),IF(AND(Q62="Probabilidad",Q63="Impacto"),(AB61-(+AB61*T63)),IF(Q63="Probabilidad",AB62,""))),"")</f>
        <v/>
      </c>
      <c r="AC63" s="131" t="str">
        <f>IFERROR(IF(OR(AND(Y63="Muy Baja",AA63="Leve"),AND(Y63="Muy Baja",AA63="Menor"),AND(Y63="Baja",AA63="Leve")),"Bajo",IF(OR(AND(Y63="Muy baja",AA63="Moderado"),AND(Y63="Baja",AA63="Menor"),AND(Y63="Baja",AA63="Moderado"),AND(Y63="Media",AA63="Leve"),AND(Y63="Media",AA63="Menor"),AND(Y63="Media",AA63="Moderado"),AND(Y63="Alta",AA63="Leve"),AND(Y63="Alta",AA63="Menor")),"Moderado",IF(OR(AND(Y63="Muy Baja",AA63="Mayor"),AND(Y63="Baja",AA63="Mayor"),AND(Y63="Media",AA63="Mayor"),AND(Y63="Alta",AA63="Moderado"),AND(Y63="Alta",AA63="Mayor"),AND(Y63="Muy Alta",AA63="Leve"),AND(Y63="Muy Alta",AA63="Menor"),AND(Y63="Muy Alta",AA63="Moderado"),AND(Y63="Muy Alta",AA63="Mayor")),"Alto",IF(OR(AND(Y63="Muy Baja",AA63="Catastrófico"),AND(Y63="Baja",AA63="Catastrófico"),AND(Y63="Media",AA63="Catastrófico"),AND(Y63="Alta",AA63="Catastrófico"),AND(Y63="Muy Alta",AA63="Catastrófico")),"Extremo","")))),"")</f>
        <v/>
      </c>
      <c r="AD63" s="132"/>
      <c r="AE63" s="133"/>
      <c r="AF63" s="134"/>
      <c r="AG63" s="135"/>
      <c r="AH63" s="135"/>
      <c r="AI63" s="133"/>
      <c r="AJ63" s="134"/>
    </row>
    <row r="64" spans="1:68" ht="151.5" customHeight="1" x14ac:dyDescent="0.3">
      <c r="A64" s="213"/>
      <c r="B64" s="192"/>
      <c r="C64" s="192"/>
      <c r="D64" s="192"/>
      <c r="E64" s="216"/>
      <c r="F64" s="192"/>
      <c r="G64" s="195"/>
      <c r="H64" s="204"/>
      <c r="I64" s="207"/>
      <c r="J64" s="210"/>
      <c r="K64" s="207">
        <f ca="1">IF(NOT(ISERROR(MATCH(J64,_xlfn.ANCHORARRAY(E75),0))),I77&amp;"Por favor no seleccionar los criterios de impacto",J64)</f>
        <v>0</v>
      </c>
      <c r="L64" s="204"/>
      <c r="M64" s="207"/>
      <c r="N64" s="198"/>
      <c r="O64" s="123">
        <v>5</v>
      </c>
      <c r="P64" s="124"/>
      <c r="Q64" s="125" t="str">
        <f t="shared" si="69"/>
        <v/>
      </c>
      <c r="R64" s="126"/>
      <c r="S64" s="126"/>
      <c r="T64" s="127" t="str">
        <f t="shared" si="66"/>
        <v/>
      </c>
      <c r="U64" s="126"/>
      <c r="V64" s="126"/>
      <c r="W64" s="126"/>
      <c r="X64" s="128" t="str">
        <f t="shared" si="70"/>
        <v/>
      </c>
      <c r="Y64" s="129" t="str">
        <f t="shared" si="1"/>
        <v/>
      </c>
      <c r="Z64" s="130" t="str">
        <f t="shared" si="67"/>
        <v/>
      </c>
      <c r="AA64" s="129" t="str">
        <f t="shared" si="3"/>
        <v/>
      </c>
      <c r="AB64" s="130" t="str">
        <f t="shared" si="71"/>
        <v/>
      </c>
      <c r="AC64" s="131" t="str">
        <f t="shared" ref="AC64:AC65" si="72">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row>
    <row r="65" spans="1:36" ht="151.5" customHeight="1" x14ac:dyDescent="0.3">
      <c r="A65" s="214"/>
      <c r="B65" s="193"/>
      <c r="C65" s="193"/>
      <c r="D65" s="193"/>
      <c r="E65" s="217"/>
      <c r="F65" s="193"/>
      <c r="G65" s="196"/>
      <c r="H65" s="205"/>
      <c r="I65" s="208"/>
      <c r="J65" s="211"/>
      <c r="K65" s="208">
        <f ca="1">IF(NOT(ISERROR(MATCH(J65,_xlfn.ANCHORARRAY(E76),0))),I78&amp;"Por favor no seleccionar los criterios de impacto",J65)</f>
        <v>0</v>
      </c>
      <c r="L65" s="205"/>
      <c r="M65" s="208"/>
      <c r="N65" s="199"/>
      <c r="O65" s="123">
        <v>6</v>
      </c>
      <c r="P65" s="124"/>
      <c r="Q65" s="125" t="str">
        <f t="shared" si="69"/>
        <v/>
      </c>
      <c r="R65" s="126"/>
      <c r="S65" s="126"/>
      <c r="T65" s="127" t="str">
        <f t="shared" si="66"/>
        <v/>
      </c>
      <c r="U65" s="126"/>
      <c r="V65" s="126"/>
      <c r="W65" s="126"/>
      <c r="X65" s="128" t="str">
        <f t="shared" si="70"/>
        <v/>
      </c>
      <c r="Y65" s="129" t="str">
        <f t="shared" si="1"/>
        <v/>
      </c>
      <c r="Z65" s="130" t="str">
        <f t="shared" si="67"/>
        <v/>
      </c>
      <c r="AA65" s="129" t="str">
        <f t="shared" si="3"/>
        <v/>
      </c>
      <c r="AB65" s="130" t="str">
        <f t="shared" si="71"/>
        <v/>
      </c>
      <c r="AC65" s="131" t="str">
        <f t="shared" si="72"/>
        <v/>
      </c>
      <c r="AD65" s="132"/>
      <c r="AE65" s="133"/>
      <c r="AF65" s="134"/>
      <c r="AG65" s="135"/>
      <c r="AH65" s="135"/>
      <c r="AI65" s="133"/>
      <c r="AJ65" s="134"/>
    </row>
    <row r="66" spans="1:36" ht="49.5" customHeight="1" x14ac:dyDescent="0.3">
      <c r="A66" s="6"/>
      <c r="B66" s="200" t="s">
        <v>131</v>
      </c>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2"/>
    </row>
    <row r="68" spans="1:36" x14ac:dyDescent="0.3">
      <c r="A68" s="1"/>
      <c r="B68" s="24" t="s">
        <v>143</v>
      </c>
      <c r="C68" s="1"/>
      <c r="D68" s="1"/>
      <c r="F68"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2:N17"/>
    <mergeCell ref="M10:M11"/>
    <mergeCell ref="N10:N11"/>
    <mergeCell ref="A12:A17"/>
    <mergeCell ref="B12:B17"/>
    <mergeCell ref="C12:C17"/>
    <mergeCell ref="D12:D17"/>
    <mergeCell ref="E12:E17"/>
    <mergeCell ref="F12:F17"/>
    <mergeCell ref="G12:G17"/>
    <mergeCell ref="H12:H17"/>
    <mergeCell ref="G10:G11"/>
    <mergeCell ref="H10:H11"/>
    <mergeCell ref="I10:I11"/>
    <mergeCell ref="J10:J11"/>
    <mergeCell ref="K10:K11"/>
    <mergeCell ref="L10:L11"/>
    <mergeCell ref="A10:A11"/>
    <mergeCell ref="B10:B11"/>
    <mergeCell ref="C10:C11"/>
    <mergeCell ref="D10:D11"/>
    <mergeCell ref="E10:E11"/>
    <mergeCell ref="F10:F11"/>
    <mergeCell ref="C18:C23"/>
    <mergeCell ref="D18:D23"/>
    <mergeCell ref="E18:E23"/>
    <mergeCell ref="F18:F23"/>
    <mergeCell ref="I12:I17"/>
    <mergeCell ref="J12:J17"/>
    <mergeCell ref="K12:K17"/>
    <mergeCell ref="L12:L17"/>
    <mergeCell ref="M12:M17"/>
    <mergeCell ref="I24:I29"/>
    <mergeCell ref="J24:J29"/>
    <mergeCell ref="K24:K29"/>
    <mergeCell ref="L24:L29"/>
    <mergeCell ref="M24:M29"/>
    <mergeCell ref="N24:N29"/>
    <mergeCell ref="M18:M23"/>
    <mergeCell ref="N18:N23"/>
    <mergeCell ref="A24:A29"/>
    <mergeCell ref="B24:B29"/>
    <mergeCell ref="C24:C29"/>
    <mergeCell ref="D24:D29"/>
    <mergeCell ref="E24:E29"/>
    <mergeCell ref="F24:F29"/>
    <mergeCell ref="G24:G29"/>
    <mergeCell ref="H24:H29"/>
    <mergeCell ref="G18:G23"/>
    <mergeCell ref="H18:H23"/>
    <mergeCell ref="I18:I23"/>
    <mergeCell ref="J18:J23"/>
    <mergeCell ref="K18:K23"/>
    <mergeCell ref="L18:L23"/>
    <mergeCell ref="A18:A23"/>
    <mergeCell ref="B18:B23"/>
    <mergeCell ref="N36:N41"/>
    <mergeCell ref="M30:M35"/>
    <mergeCell ref="N30:N35"/>
    <mergeCell ref="A36:A41"/>
    <mergeCell ref="B36:B41"/>
    <mergeCell ref="C36:C41"/>
    <mergeCell ref="D36:D41"/>
    <mergeCell ref="E36:E41"/>
    <mergeCell ref="F36:F41"/>
    <mergeCell ref="G36:G41"/>
    <mergeCell ref="H36:H41"/>
    <mergeCell ref="G30:G35"/>
    <mergeCell ref="H30:H35"/>
    <mergeCell ref="I30:I35"/>
    <mergeCell ref="J30:J35"/>
    <mergeCell ref="K30:K35"/>
    <mergeCell ref="L30:L35"/>
    <mergeCell ref="A30:A35"/>
    <mergeCell ref="B30:B35"/>
    <mergeCell ref="C30:C35"/>
    <mergeCell ref="D30:D35"/>
    <mergeCell ref="E30:E35"/>
    <mergeCell ref="F30:F35"/>
    <mergeCell ref="C42:C47"/>
    <mergeCell ref="D42:D47"/>
    <mergeCell ref="E42:E47"/>
    <mergeCell ref="F42:F47"/>
    <mergeCell ref="I36:I41"/>
    <mergeCell ref="J36:J41"/>
    <mergeCell ref="K36:K41"/>
    <mergeCell ref="L36:L41"/>
    <mergeCell ref="M36:M41"/>
    <mergeCell ref="I48:I53"/>
    <mergeCell ref="J48:J53"/>
    <mergeCell ref="K48:K53"/>
    <mergeCell ref="L48:L53"/>
    <mergeCell ref="M48:M53"/>
    <mergeCell ref="N48:N53"/>
    <mergeCell ref="M42:M47"/>
    <mergeCell ref="N42:N47"/>
    <mergeCell ref="A48:A53"/>
    <mergeCell ref="B48:B53"/>
    <mergeCell ref="C48:C53"/>
    <mergeCell ref="D48:D53"/>
    <mergeCell ref="E48:E53"/>
    <mergeCell ref="F48:F53"/>
    <mergeCell ref="G48:G53"/>
    <mergeCell ref="H48:H53"/>
    <mergeCell ref="G42:G47"/>
    <mergeCell ref="H42:H47"/>
    <mergeCell ref="I42:I47"/>
    <mergeCell ref="J42:J47"/>
    <mergeCell ref="K42:K47"/>
    <mergeCell ref="L42:L47"/>
    <mergeCell ref="A42:A47"/>
    <mergeCell ref="B42:B47"/>
    <mergeCell ref="A60:A65"/>
    <mergeCell ref="B60:B65"/>
    <mergeCell ref="C60:C65"/>
    <mergeCell ref="D60:D65"/>
    <mergeCell ref="E60:E65"/>
    <mergeCell ref="F60:F65"/>
    <mergeCell ref="G60:G65"/>
    <mergeCell ref="H60:H65"/>
    <mergeCell ref="G54:G59"/>
    <mergeCell ref="H54:H59"/>
    <mergeCell ref="A54:A59"/>
    <mergeCell ref="B54:B59"/>
    <mergeCell ref="C54:C59"/>
    <mergeCell ref="D54:D59"/>
    <mergeCell ref="E54:E59"/>
    <mergeCell ref="F54:F59"/>
    <mergeCell ref="B66:AJ66"/>
    <mergeCell ref="I60:I65"/>
    <mergeCell ref="J60:J65"/>
    <mergeCell ref="K60:K65"/>
    <mergeCell ref="L60:L65"/>
    <mergeCell ref="M60:M65"/>
    <mergeCell ref="N60:N65"/>
    <mergeCell ref="M54:M59"/>
    <mergeCell ref="N54:N59"/>
    <mergeCell ref="I54:I59"/>
    <mergeCell ref="J54:J59"/>
    <mergeCell ref="K54:K59"/>
    <mergeCell ref="L54:L59"/>
  </mergeCells>
  <conditionalFormatting sqref="H10 H12 Y10:Y65">
    <cfRule type="cellIs" dxfId="724" priority="227" operator="equal">
      <formula>"Muy Alta"</formula>
    </cfRule>
    <cfRule type="cellIs" dxfId="723" priority="228" operator="equal">
      <formula>"Alta"</formula>
    </cfRule>
    <cfRule type="cellIs" dxfId="722" priority="229" operator="equal">
      <formula>"Media"</formula>
    </cfRule>
    <cfRule type="cellIs" dxfId="721" priority="230" operator="equal">
      <formula>"Baja"</formula>
    </cfRule>
    <cfRule type="cellIs" dxfId="720" priority="231" operator="equal">
      <formula>"Muy Baja"</formula>
    </cfRule>
  </conditionalFormatting>
  <conditionalFormatting sqref="H18">
    <cfRule type="cellIs" dxfId="719" priority="181" operator="equal">
      <formula>"Muy Alta"</formula>
    </cfRule>
    <cfRule type="cellIs" dxfId="718" priority="182" operator="equal">
      <formula>"Alta"</formula>
    </cfRule>
    <cfRule type="cellIs" dxfId="717" priority="183" operator="equal">
      <formula>"Media"</formula>
    </cfRule>
    <cfRule type="cellIs" dxfId="716" priority="184" operator="equal">
      <formula>"Baja"</formula>
    </cfRule>
    <cfRule type="cellIs" dxfId="715" priority="185" operator="equal">
      <formula>"Muy Baja"</formula>
    </cfRule>
  </conditionalFormatting>
  <conditionalFormatting sqref="H24">
    <cfRule type="cellIs" dxfId="714" priority="158" operator="equal">
      <formula>"Muy Alta"</formula>
    </cfRule>
    <cfRule type="cellIs" dxfId="713" priority="159" operator="equal">
      <formula>"Alta"</formula>
    </cfRule>
    <cfRule type="cellIs" dxfId="712" priority="160" operator="equal">
      <formula>"Media"</formula>
    </cfRule>
    <cfRule type="cellIs" dxfId="711" priority="161" operator="equal">
      <formula>"Baja"</formula>
    </cfRule>
    <cfRule type="cellIs" dxfId="710" priority="162" operator="equal">
      <formula>"Muy Baja"</formula>
    </cfRule>
  </conditionalFormatting>
  <conditionalFormatting sqref="H30">
    <cfRule type="cellIs" dxfId="709" priority="135" operator="equal">
      <formula>"Muy Alta"</formula>
    </cfRule>
    <cfRule type="cellIs" dxfId="708" priority="136" operator="equal">
      <formula>"Alta"</formula>
    </cfRule>
    <cfRule type="cellIs" dxfId="707" priority="137" operator="equal">
      <formula>"Media"</formula>
    </cfRule>
    <cfRule type="cellIs" dxfId="706" priority="138" operator="equal">
      <formula>"Baja"</formula>
    </cfRule>
    <cfRule type="cellIs" dxfId="705" priority="139" operator="equal">
      <formula>"Muy Baja"</formula>
    </cfRule>
  </conditionalFormatting>
  <conditionalFormatting sqref="H36">
    <cfRule type="cellIs" dxfId="704" priority="112" operator="equal">
      <formula>"Muy Alta"</formula>
    </cfRule>
    <cfRule type="cellIs" dxfId="703" priority="113" operator="equal">
      <formula>"Alta"</formula>
    </cfRule>
    <cfRule type="cellIs" dxfId="702" priority="114" operator="equal">
      <formula>"Media"</formula>
    </cfRule>
    <cfRule type="cellIs" dxfId="701" priority="115" operator="equal">
      <formula>"Baja"</formula>
    </cfRule>
    <cfRule type="cellIs" dxfId="700" priority="116" operator="equal">
      <formula>"Muy Baja"</formula>
    </cfRule>
  </conditionalFormatting>
  <conditionalFormatting sqref="H42">
    <cfRule type="cellIs" dxfId="699" priority="89" operator="equal">
      <formula>"Muy Alta"</formula>
    </cfRule>
    <cfRule type="cellIs" dxfId="698" priority="90" operator="equal">
      <formula>"Alta"</formula>
    </cfRule>
    <cfRule type="cellIs" dxfId="697" priority="91" operator="equal">
      <formula>"Media"</formula>
    </cfRule>
    <cfRule type="cellIs" dxfId="696" priority="92" operator="equal">
      <formula>"Baja"</formula>
    </cfRule>
    <cfRule type="cellIs" dxfId="695" priority="93" operator="equal">
      <formula>"Muy Baja"</formula>
    </cfRule>
  </conditionalFormatting>
  <conditionalFormatting sqref="H48">
    <cfRule type="cellIs" dxfId="694" priority="66" operator="equal">
      <formula>"Muy Alta"</formula>
    </cfRule>
    <cfRule type="cellIs" dxfId="693" priority="67" operator="equal">
      <formula>"Alta"</formula>
    </cfRule>
    <cfRule type="cellIs" dxfId="692" priority="68" operator="equal">
      <formula>"Media"</formula>
    </cfRule>
    <cfRule type="cellIs" dxfId="691" priority="69" operator="equal">
      <formula>"Baja"</formula>
    </cfRule>
    <cfRule type="cellIs" dxfId="690" priority="70" operator="equal">
      <formula>"Muy Baja"</formula>
    </cfRule>
  </conditionalFormatting>
  <conditionalFormatting sqref="H54">
    <cfRule type="cellIs" dxfId="689" priority="43" operator="equal">
      <formula>"Muy Alta"</formula>
    </cfRule>
    <cfRule type="cellIs" dxfId="688" priority="44" operator="equal">
      <formula>"Alta"</formula>
    </cfRule>
    <cfRule type="cellIs" dxfId="687" priority="45" operator="equal">
      <formula>"Media"</formula>
    </cfRule>
    <cfRule type="cellIs" dxfId="686" priority="46" operator="equal">
      <formula>"Baja"</formula>
    </cfRule>
    <cfRule type="cellIs" dxfId="685" priority="47" operator="equal">
      <formula>"Muy Baja"</formula>
    </cfRule>
  </conditionalFormatting>
  <conditionalFormatting sqref="H60">
    <cfRule type="cellIs" dxfId="684" priority="20" operator="equal">
      <formula>"Muy Alta"</formula>
    </cfRule>
    <cfRule type="cellIs" dxfId="683" priority="21" operator="equal">
      <formula>"Alta"</formula>
    </cfRule>
    <cfRule type="cellIs" dxfId="682" priority="22" operator="equal">
      <formula>"Media"</formula>
    </cfRule>
    <cfRule type="cellIs" dxfId="681" priority="23" operator="equal">
      <formula>"Baja"</formula>
    </cfRule>
    <cfRule type="cellIs" dxfId="680" priority="24" operator="equal">
      <formula>"Muy Baja"</formula>
    </cfRule>
  </conditionalFormatting>
  <conditionalFormatting sqref="K10:K65">
    <cfRule type="containsText" dxfId="679" priority="1" operator="containsText" text="❌">
      <formula>NOT(ISERROR(SEARCH("❌",K10)))</formula>
    </cfRule>
  </conditionalFormatting>
  <conditionalFormatting sqref="L10 L12 L18 L24 L30 L36 L42 L48 L54 L60 AA10:AA65">
    <cfRule type="cellIs" dxfId="678" priority="222" operator="equal">
      <formula>"Catastrófico"</formula>
    </cfRule>
    <cfRule type="cellIs" dxfId="677" priority="223" operator="equal">
      <formula>"Mayor"</formula>
    </cfRule>
    <cfRule type="cellIs" dxfId="676" priority="224" operator="equal">
      <formula>"Moderado"</formula>
    </cfRule>
    <cfRule type="cellIs" dxfId="675" priority="225" operator="equal">
      <formula>"Menor"</formula>
    </cfRule>
    <cfRule type="cellIs" dxfId="674" priority="226" operator="equal">
      <formula>"Leve"</formula>
    </cfRule>
  </conditionalFormatting>
  <conditionalFormatting sqref="N10 AC10:AC65">
    <cfRule type="cellIs" dxfId="673" priority="218" operator="equal">
      <formula>"Extremo"</formula>
    </cfRule>
    <cfRule type="cellIs" dxfId="672" priority="219" operator="equal">
      <formula>"Alto"</formula>
    </cfRule>
    <cfRule type="cellIs" dxfId="671" priority="220" operator="equal">
      <formula>"Moderado"</formula>
    </cfRule>
    <cfRule type="cellIs" dxfId="670" priority="221" operator="equal">
      <formula>"Bajo"</formula>
    </cfRule>
  </conditionalFormatting>
  <conditionalFormatting sqref="N12">
    <cfRule type="cellIs" dxfId="669" priority="200" operator="equal">
      <formula>"Extremo"</formula>
    </cfRule>
    <cfRule type="cellIs" dxfId="668" priority="201" operator="equal">
      <formula>"Alto"</formula>
    </cfRule>
    <cfRule type="cellIs" dxfId="667" priority="202" operator="equal">
      <formula>"Moderado"</formula>
    </cfRule>
    <cfRule type="cellIs" dxfId="666" priority="203" operator="equal">
      <formula>"Bajo"</formula>
    </cfRule>
  </conditionalFormatting>
  <conditionalFormatting sqref="N18">
    <cfRule type="cellIs" dxfId="665" priority="177" operator="equal">
      <formula>"Extremo"</formula>
    </cfRule>
    <cfRule type="cellIs" dxfId="664" priority="178" operator="equal">
      <formula>"Alto"</formula>
    </cfRule>
    <cfRule type="cellIs" dxfId="663" priority="179" operator="equal">
      <formula>"Moderado"</formula>
    </cfRule>
    <cfRule type="cellIs" dxfId="662" priority="180" operator="equal">
      <formula>"Bajo"</formula>
    </cfRule>
  </conditionalFormatting>
  <conditionalFormatting sqref="N24">
    <cfRule type="cellIs" dxfId="661" priority="154" operator="equal">
      <formula>"Extremo"</formula>
    </cfRule>
    <cfRule type="cellIs" dxfId="660" priority="155" operator="equal">
      <formula>"Alto"</formula>
    </cfRule>
    <cfRule type="cellIs" dxfId="659" priority="156" operator="equal">
      <formula>"Moderado"</formula>
    </cfRule>
    <cfRule type="cellIs" dxfId="658" priority="157" operator="equal">
      <formula>"Bajo"</formula>
    </cfRule>
  </conditionalFormatting>
  <conditionalFormatting sqref="N30">
    <cfRule type="cellIs" dxfId="657" priority="131" operator="equal">
      <formula>"Extremo"</formula>
    </cfRule>
    <cfRule type="cellIs" dxfId="656" priority="132" operator="equal">
      <formula>"Alto"</formula>
    </cfRule>
    <cfRule type="cellIs" dxfId="655" priority="133" operator="equal">
      <formula>"Moderado"</formula>
    </cfRule>
    <cfRule type="cellIs" dxfId="654" priority="134" operator="equal">
      <formula>"Bajo"</formula>
    </cfRule>
  </conditionalFormatting>
  <conditionalFormatting sqref="N36">
    <cfRule type="cellIs" dxfId="653" priority="108" operator="equal">
      <formula>"Extremo"</formula>
    </cfRule>
    <cfRule type="cellIs" dxfId="652" priority="109" operator="equal">
      <formula>"Alto"</formula>
    </cfRule>
    <cfRule type="cellIs" dxfId="651" priority="110" operator="equal">
      <formula>"Moderado"</formula>
    </cfRule>
    <cfRule type="cellIs" dxfId="650" priority="111" operator="equal">
      <formula>"Bajo"</formula>
    </cfRule>
  </conditionalFormatting>
  <conditionalFormatting sqref="N42">
    <cfRule type="cellIs" dxfId="649" priority="85" operator="equal">
      <formula>"Extremo"</formula>
    </cfRule>
    <cfRule type="cellIs" dxfId="648" priority="86" operator="equal">
      <formula>"Alto"</formula>
    </cfRule>
    <cfRule type="cellIs" dxfId="647" priority="87" operator="equal">
      <formula>"Moderado"</formula>
    </cfRule>
    <cfRule type="cellIs" dxfId="646" priority="88" operator="equal">
      <formula>"Bajo"</formula>
    </cfRule>
  </conditionalFormatting>
  <conditionalFormatting sqref="N48">
    <cfRule type="cellIs" dxfId="645" priority="62" operator="equal">
      <formula>"Extremo"</formula>
    </cfRule>
    <cfRule type="cellIs" dxfId="644" priority="63" operator="equal">
      <formula>"Alto"</formula>
    </cfRule>
    <cfRule type="cellIs" dxfId="643" priority="64" operator="equal">
      <formula>"Moderado"</formula>
    </cfRule>
    <cfRule type="cellIs" dxfId="642" priority="65" operator="equal">
      <formula>"Bajo"</formula>
    </cfRule>
  </conditionalFormatting>
  <conditionalFormatting sqref="N54">
    <cfRule type="cellIs" dxfId="641" priority="39" operator="equal">
      <formula>"Extremo"</formula>
    </cfRule>
    <cfRule type="cellIs" dxfId="640" priority="40" operator="equal">
      <formula>"Alto"</formula>
    </cfRule>
    <cfRule type="cellIs" dxfId="639" priority="41" operator="equal">
      <formula>"Moderado"</formula>
    </cfRule>
    <cfRule type="cellIs" dxfId="638" priority="42" operator="equal">
      <formula>"Bajo"</formula>
    </cfRule>
  </conditionalFormatting>
  <conditionalFormatting sqref="N60">
    <cfRule type="cellIs" dxfId="637" priority="16" operator="equal">
      <formula>"Extremo"</formula>
    </cfRule>
    <cfRule type="cellIs" dxfId="636" priority="17" operator="equal">
      <formula>"Alto"</formula>
    </cfRule>
    <cfRule type="cellIs" dxfId="635" priority="18" operator="equal">
      <formula>"Moderado"</formula>
    </cfRule>
    <cfRule type="cellIs" dxfId="634" priority="19"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B3B44931-7C4D-435E-9190-A36CD84CD35D}">
          <x14:formula1>
            <xm:f>'Opciones Tratamiento'!$B$9:$B$10</xm:f>
          </x14:formula1>
          <xm:sqref>AJ10:AJ13 AJ15:AJ16 AJ18:AJ19 AJ21:AJ22 AJ24:AJ25 AJ27:AJ28 AJ30:AJ31 AJ33:AJ34 AJ36:AJ37 AJ39:AJ40 AJ42:AJ43 AJ45:AJ46 AJ48:AJ49 AJ51:AJ52 AJ54:AJ55 AJ57:AJ58 AJ60:AJ61 AJ63:AJ64</xm:sqref>
        </x14:dataValidation>
        <x14:dataValidation type="list" allowBlank="1" showInputMessage="1" showErrorMessage="1" xr:uid="{DD75D8A4-2D14-4A4B-8400-229AA25F6339}">
          <x14:formula1>
            <xm:f>'Tabla Valoración controles'!$D$4:$D$6</xm:f>
          </x14:formula1>
          <xm:sqref>R10:R65</xm:sqref>
        </x14:dataValidation>
        <x14:dataValidation type="list" allowBlank="1" showInputMessage="1" showErrorMessage="1" xr:uid="{333A0AC6-9BEF-4C27-A0A2-F2B9FF9B2240}">
          <x14:formula1>
            <xm:f>'Tabla Valoración controles'!$D$7:$D$8</xm:f>
          </x14:formula1>
          <xm:sqref>S10:S65</xm:sqref>
        </x14:dataValidation>
        <x14:dataValidation type="list" allowBlank="1" showInputMessage="1" showErrorMessage="1" xr:uid="{F2672A19-CD7A-4B4D-8D07-D1F3E1E76894}">
          <x14:formula1>
            <xm:f>'Tabla Valoración controles'!$D$9:$D$10</xm:f>
          </x14:formula1>
          <xm:sqref>U10:U65</xm:sqref>
        </x14:dataValidation>
        <x14:dataValidation type="list" allowBlank="1" showInputMessage="1" showErrorMessage="1" xr:uid="{1FFC64AF-2842-49BA-AE14-D9B9BDEDD8DF}">
          <x14:formula1>
            <xm:f>'Tabla Valoración controles'!$D$11:$D$12</xm:f>
          </x14:formula1>
          <xm:sqref>V10:V65</xm:sqref>
        </x14:dataValidation>
        <x14:dataValidation type="list" allowBlank="1" showInputMessage="1" showErrorMessage="1" xr:uid="{B818660B-F79F-48E6-A9C1-3A1CCD008C65}">
          <x14:formula1>
            <xm:f>'Tabla Valoración controles'!$D$13:$D$14</xm:f>
          </x14:formula1>
          <xm:sqref>W10:W65</xm:sqref>
        </x14:dataValidation>
        <x14:dataValidation type="list" allowBlank="1" showInputMessage="1" showErrorMessage="1" xr:uid="{C3D69B65-1B17-4E9F-9C47-CB8E519D96F1}">
          <x14:formula1>
            <xm:f>'Opciones Tratamiento'!$B$13:$B$19</xm:f>
          </x14:formula1>
          <xm:sqref>F10:F65</xm:sqref>
        </x14:dataValidation>
        <x14:dataValidation type="list" allowBlank="1" showInputMessage="1" showErrorMessage="1" xr:uid="{32A639AA-2F50-4FCD-9FD2-79F89AE3E3C4}">
          <x14:formula1>
            <xm:f>'Opciones Tratamiento'!$E$2:$E$4</xm:f>
          </x14:formula1>
          <xm:sqref>B10:B65</xm:sqref>
        </x14:dataValidation>
        <x14:dataValidation type="list" allowBlank="1" showInputMessage="1" showErrorMessage="1" xr:uid="{E3274AD3-4030-4B7E-9034-DC652757D7EF}">
          <x14:formula1>
            <xm:f>'Opciones Tratamiento'!$B$2:$B$5</xm:f>
          </x14:formula1>
          <xm:sqref>AD10:AD65</xm:sqref>
        </x14:dataValidation>
        <x14:dataValidation type="list" allowBlank="1" showInputMessage="1" showErrorMessage="1" xr:uid="{32AABF3E-AE97-4415-9729-2D4CC467E741}">
          <x14:formula1>
            <xm:f>'Tabla Impacto'!$F$210:$F$221</xm:f>
          </x14:formula1>
          <xm:sqref>J10:J65</xm:sqref>
        </x14:dataValidation>
        <x14:dataValidation type="custom" allowBlank="1" showInputMessage="1" showErrorMessage="1" error="Recuerde que las acciones se generan bajo la medida de mitigar el riesgo" xr:uid="{9CC89E1A-0732-4C54-BAEF-4FE055BFDEBB}">
          <x14:formula1>
            <xm:f>IF(OR(AD10='Opciones Tratamiento'!$B$2,AD10='Opciones Tratamiento'!$B$3,AD10='Opciones Tratamiento'!$B$4),ISBLANK(AD10),ISTEXT(AD10))</xm:f>
          </x14:formula1>
          <xm:sqref>AE10:AE65</xm:sqref>
        </x14:dataValidation>
        <x14:dataValidation type="custom" allowBlank="1" showInputMessage="1" showErrorMessage="1" error="Recuerde que las acciones se generan bajo la medida de mitigar el riesgo" xr:uid="{ECD99AF8-143E-4902-911A-30FEBA31013A}">
          <x14:formula1>
            <xm:f>IF(OR(AD10='Opciones Tratamiento'!$B$2,AD10='Opciones Tratamiento'!$B$3,AD10='Opciones Tratamiento'!$B$4),ISBLANK(AD10),ISTEXT(AD10))</xm:f>
          </x14:formula1>
          <xm:sqref>AF10:AF65</xm:sqref>
        </x14:dataValidation>
        <x14:dataValidation type="custom" allowBlank="1" showInputMessage="1" showErrorMessage="1" error="Recuerde que las acciones se generan bajo la medida de mitigar el riesgo" xr:uid="{DAC90293-159B-4623-855A-E119F7180BB6}">
          <x14:formula1>
            <xm:f>IF(OR(AD10='Opciones Tratamiento'!$B$2,AD10='Opciones Tratamiento'!$B$3,AD10='Opciones Tratamiento'!$B$4),ISBLANK(AD10),ISTEXT(AD10))</xm:f>
          </x14:formula1>
          <xm:sqref>AG10:AG65</xm:sqref>
        </x14:dataValidation>
        <x14:dataValidation type="custom" allowBlank="1" showInputMessage="1" showErrorMessage="1" error="Recuerde que las acciones se generan bajo la medida de mitigar el riesgo" xr:uid="{FE3EF595-E3C7-42DA-9EDA-1B297C53AE00}">
          <x14:formula1>
            <xm:f>IF(OR(AD10='Opciones Tratamiento'!$B$2,AD10='Opciones Tratamiento'!$B$3,AD10='Opciones Tratamiento'!$B$4),ISBLANK(AD10),ISTEXT(AD10))</xm:f>
          </x14:formula1>
          <xm:sqref>AH10:AH65</xm:sqref>
        </x14:dataValidation>
        <x14:dataValidation type="custom" allowBlank="1" showInputMessage="1" showErrorMessage="1" error="Recuerde que las acciones se generan bajo la medida de mitigar el riesgo" xr:uid="{9D8D21CA-1E0C-4613-A554-B501B6E4F3F5}">
          <x14:formula1>
            <xm:f>IF(OR(AD10='Opciones Tratamiento'!$B$2,AD10='Opciones Tratamiento'!$B$3,AD10='Opciones Tratamiento'!$B$4),ISBLANK(AD10),ISTEXT(AD10))</xm:f>
          </x14:formula1>
          <xm:sqref>AI10:AI65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Intructivo</vt:lpstr>
      <vt:lpstr>direccionamiento</vt:lpstr>
      <vt:lpstr>academico</vt:lpstr>
      <vt:lpstr>TH</vt:lpstr>
      <vt:lpstr>bienestar</vt:lpstr>
      <vt:lpstr>legal administrativa</vt:lpstr>
      <vt:lpstr>extension</vt:lpstr>
      <vt:lpstr>interna-bilinguismo</vt:lpstr>
      <vt:lpstr>investigacion</vt:lpstr>
      <vt:lpstr>gestion tecnologica</vt:lpstr>
      <vt:lpstr>comunicaciones y mercadeo</vt:lpstr>
      <vt:lpstr>gestion documental</vt:lpstr>
      <vt:lpstr>servicio al ciudadano</vt:lpstr>
      <vt:lpstr>SIAC</vt:lpstr>
      <vt:lpstr>control y evaluacion integral</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Usuario</cp:lastModifiedBy>
  <cp:lastPrinted>2020-05-13T01:12:22Z</cp:lastPrinted>
  <dcterms:created xsi:type="dcterms:W3CDTF">2020-03-24T23:12:47Z</dcterms:created>
  <dcterms:modified xsi:type="dcterms:W3CDTF">2023-12-14T19:37:49Z</dcterms:modified>
</cp:coreProperties>
</file>