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FE PRESUPUESTO\Desktop\2022\CONSEJO DIRECTIVO 2022\7-JULIO 2022\"/>
    </mc:Choice>
  </mc:AlternateContent>
  <xr:revisionPtr revIDLastSave="0" documentId="13_ncr:1_{EABE83CD-551F-4014-B193-AD61C1230B06}" xr6:coauthVersionLast="36" xr6:coauthVersionMax="36" xr10:uidLastSave="{00000000-0000-0000-0000-000000000000}"/>
  <bookViews>
    <workbookView xWindow="0" yWindow="0" windowWidth="28800" windowHeight="12225" tabRatio="741" firstSheet="4" activeTab="4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4" l="1"/>
  <c r="L9" i="11"/>
  <c r="K9" i="11"/>
  <c r="J9" i="11"/>
  <c r="L6" i="11"/>
  <c r="K6" i="11"/>
  <c r="J6" i="11"/>
  <c r="L5" i="11"/>
  <c r="K5" i="11"/>
  <c r="J5" i="11"/>
  <c r="J7" i="11"/>
  <c r="K7" i="11"/>
  <c r="L7" i="11"/>
  <c r="J8" i="11"/>
  <c r="K8" i="11"/>
  <c r="L8" i="11"/>
  <c r="F4" i="9"/>
  <c r="D6" i="6"/>
  <c r="L9" i="4"/>
  <c r="L7" i="4"/>
  <c r="L6" i="4"/>
  <c r="L5" i="4"/>
  <c r="K9" i="4"/>
  <c r="K7" i="4"/>
  <c r="K6" i="4"/>
  <c r="J9" i="4"/>
  <c r="J7" i="4"/>
  <c r="J6" i="4"/>
  <c r="K5" i="4"/>
  <c r="L6" i="1"/>
  <c r="K6" i="1"/>
  <c r="J6" i="1"/>
  <c r="L5" i="1"/>
  <c r="K5" i="1"/>
  <c r="J5" i="1"/>
  <c r="I8" i="15"/>
  <c r="I7" i="15"/>
  <c r="G8" i="15"/>
  <c r="F10" i="15"/>
  <c r="G7" i="15"/>
  <c r="B18" i="10"/>
  <c r="B7" i="10"/>
  <c r="B10" i="10" s="1"/>
  <c r="B17" i="10"/>
  <c r="B16" i="10"/>
  <c r="B15" i="10"/>
  <c r="B9" i="10"/>
  <c r="B8" i="10"/>
  <c r="B11" i="10"/>
  <c r="B12" i="10"/>
  <c r="B13" i="10"/>
  <c r="B19" i="6"/>
  <c r="B17" i="5"/>
  <c r="B6" i="5"/>
  <c r="B14" i="5" s="1"/>
  <c r="E9" i="11"/>
  <c r="D9" i="11"/>
  <c r="E6" i="11"/>
  <c r="E5" i="11"/>
  <c r="D6" i="11"/>
  <c r="B12" i="5"/>
  <c r="B13" i="5"/>
  <c r="B15" i="5"/>
  <c r="B16" i="5"/>
  <c r="B16" i="6"/>
  <c r="B17" i="6"/>
  <c r="B14" i="10" l="1"/>
  <c r="D4" i="9"/>
  <c r="B10" i="5"/>
  <c r="B11" i="5"/>
  <c r="F9" i="11" l="1"/>
  <c r="B8" i="5" l="1"/>
  <c r="B21" i="6" l="1"/>
  <c r="B7" i="5"/>
  <c r="E5" i="1"/>
  <c r="E6" i="1"/>
  <c r="D11" i="4" l="1"/>
  <c r="E6" i="4"/>
  <c r="E7" i="4"/>
  <c r="E8" i="4"/>
  <c r="K8" i="4" s="1"/>
  <c r="E5" i="4"/>
  <c r="C7" i="1"/>
  <c r="D7" i="1"/>
  <c r="E10" i="15"/>
  <c r="D10" i="15"/>
  <c r="F9" i="15"/>
  <c r="F7" i="15"/>
  <c r="B4" i="16" s="1"/>
  <c r="F8" i="15"/>
  <c r="L8" i="4" l="1"/>
  <c r="J8" i="4"/>
  <c r="E7" i="1"/>
  <c r="C10" i="15" l="1"/>
  <c r="G9" i="15" l="1"/>
  <c r="C9" i="4" l="1"/>
  <c r="C11" i="4" s="1"/>
  <c r="D18" i="10" l="1"/>
  <c r="D7" i="10"/>
  <c r="C4" i="4"/>
  <c r="D4" i="11" s="1"/>
  <c r="C4" i="1"/>
  <c r="F9" i="4" l="1"/>
  <c r="F11" i="4" l="1"/>
  <c r="J10" i="4" l="1"/>
  <c r="K10" i="4"/>
  <c r="L10" i="4"/>
  <c r="E9" i="4" l="1"/>
  <c r="E11" i="4" l="1"/>
  <c r="I9" i="15"/>
  <c r="C4" i="9"/>
  <c r="B9" i="4"/>
  <c r="J11" i="4" l="1"/>
  <c r="I10" i="15"/>
  <c r="B11" i="4"/>
  <c r="B6" i="16" l="1"/>
  <c r="G9" i="11" l="1"/>
  <c r="E16" i="10" l="1"/>
  <c r="C9" i="11"/>
  <c r="H9" i="11" l="1"/>
  <c r="D5" i="16" l="1"/>
  <c r="B7" i="16" l="1"/>
  <c r="B12" i="16" s="1"/>
  <c r="D8" i="10" l="1"/>
  <c r="H9" i="4"/>
  <c r="G9" i="4"/>
  <c r="G11" i="4" l="1"/>
  <c r="E15" i="10"/>
  <c r="E17" i="10"/>
  <c r="E18" i="10"/>
  <c r="E15" i="6"/>
  <c r="B15" i="6"/>
  <c r="B14" i="6"/>
  <c r="B13" i="6"/>
  <c r="B12" i="6"/>
  <c r="B9" i="5"/>
  <c r="C35" i="15"/>
  <c r="C6" i="16" s="1"/>
  <c r="C34" i="15"/>
  <c r="G34" i="15" s="1"/>
  <c r="C33" i="15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G33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H11" i="4"/>
  <c r="L11" i="4" s="1"/>
  <c r="K11" i="4"/>
  <c r="H7" i="1"/>
  <c r="L7" i="1" s="1"/>
  <c r="G7" i="1"/>
  <c r="F7" i="1"/>
  <c r="J7" i="1" s="1"/>
  <c r="B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JEFE PRESUPUESTO</author>
    <author>PRESUPUESTO</author>
    <author>CONTABILIDAD</author>
  </authors>
  <commentList>
    <comment ref="D8" authorId="0" shapeId="0" xr:uid="{E853E568-BFB4-47C0-ACFC-44622B5C72D3}">
      <text>
        <r>
          <rPr>
            <b/>
            <sz val="9"/>
            <color indexed="81"/>
            <rFont val="Tahoma"/>
            <charset val="1"/>
          </rPr>
          <t>JEFE PRESUPUESTO:</t>
        </r>
        <r>
          <rPr>
            <sz val="9"/>
            <color indexed="81"/>
            <rFont val="Tahoma"/>
            <charset val="1"/>
          </rPr>
          <t xml:space="preserve">
RESOLUCIÓN N°013369 DE JULIO 12 DE 2022 DE MINEDUCACIÓN.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$1.614.009867.00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<sst xmlns="http://schemas.openxmlformats.org/spreadsheetml/2006/main" count="283" uniqueCount="132">
  <si>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</si>
  <si>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</si>
  <si>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</si>
  <si>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</si>
  <si>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</si>
  <si>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</si>
  <si>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</si>
  <si>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</si>
  <si>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</si>
  <si>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</si>
  <si>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</si>
  <si>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</si>
  <si>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</si>
  <si>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</si>
  <si>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</si>
  <si>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</si>
  <si>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</si>
  <si>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</si>
  <si>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</si>
  <si>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</si>
  <si>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</si>
  <si>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</si>
  <si>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</si>
  <si>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</si>
  <si>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</si>
  <si>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</si>
  <si>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</si>
  <si>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</si>
  <si>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</si>
  <si>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</si>
  <si>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</si>
  <si>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</si>
  <si>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</si>
  <si>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</si>
  <si>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</si>
  <si>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</si>
  <si>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</si>
  <si>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</si>
  <si>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</si>
  <si>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</si>
  <si>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</si>
  <si>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</si>
  <si>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</si>
  <si>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</si>
  <si>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</si>
  <si>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</si>
  <si>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</si>
  <si>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</si>
  <si>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</si>
  <si>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</si>
  <si>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</si>
  <si>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</si>
  <si>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</si>
  <si>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</si>
  <si>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</si>
  <si>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</si>
  <si>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</si>
  <si>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</si>
  <si>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</si>
  <si>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</si>
  <si>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</si>
  <si>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</si>
  <si>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</si>
  <si>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</si>
  <si>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</si>
  <si>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</si>
  <si>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</si>
  <si>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</si>
  <si>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</si>
  <si>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</si>
  <si>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</si>
  <si>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</si>
  <si>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</si>
  <si>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</si>
  <si>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</si>
  <si>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</si>
  <si>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</si>
  <si>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</si>
  <si>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</si>
  <si>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</si>
  <si>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</si>
  <si>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</si>
  <si>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</si>
  <si>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</si>
  <si>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</si>
  <si>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</si>
  <si>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</si>
  <si>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</si>
  <si>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</si>
  <si>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</si>
  <si>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</si>
  <si>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</si>
  <si>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</si>
  <si>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</si>
  <si>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</si>
  <si>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</si>
  <si>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</si>
  <si>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</si>
  <si>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</si>
  <si>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</si>
  <si>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</si>
  <si>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</si>
  <si>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</si>
  <si>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</si>
  <si>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</si>
  <si>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</si>
  <si>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</si>
  <si>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</si>
  <si>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</si>
  <si>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</si>
  <si>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</si>
  <si>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</si>
  <si>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</si>
  <si>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C-2202-0700-5</t>
  </si>
  <si>
    <t>C-2202-0700-6</t>
  </si>
  <si>
    <t>FORTALECIMIENTO DE LAS ESTRATEGIAS DE CALIDAD, COBERTURA, PERMANENCIA Y PERMANENCIA DE LA EDUCACIÓN SUPERIOR EN EL INFOTEP.</t>
  </si>
  <si>
    <t>FORTALECIMIENTO DE LA GESTIÓN INSTITUCIONAL DEL INFOTEP SAN ANDRÉS Y PROVIDENCIA.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</si>
  <si>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</si>
  <si>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</si>
  <si>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</si>
  <si>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</si>
  <si>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</si>
  <si>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REDUCIÓN SEGÚN DECRETO </t>
  </si>
  <si>
    <t>EJECUCIÓN PRESUPUESTAL DE INGRESOS RECURSO PROPIOS
ENERO 2022 - DICIEMBRE 31   2022.</t>
  </si>
  <si>
    <t xml:space="preserve">Presupuesto Definitivo 2022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</si>
  <si>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2022
(3)</t>
    </r>
  </si>
  <si>
    <t>CON CORTE A JULIO 31   DE 2022</t>
  </si>
  <si>
    <t>EJECUCIÓN PRESUPUESTAL 
GASTOS DE PERSONAL 
CON CORTE A JULIO 31   DE 2022</t>
  </si>
  <si>
    <t>EJECUCIÓN PRESUPUESTAL
ADQUISICIÓN BIENES Y SERVICIOS
CON CORTE A JULIO 31   DE 2022</t>
  </si>
  <si>
    <t>Ejecución Presupuestal - Proyectos de Inversión
CON CORTE A JULIO 31   DE 2022</t>
  </si>
  <si>
    <t>EJECUCIÓN PRESUPUESTAL 
PROYECTOS DE INVERSIÓN
CON CORTE A JULIO 31   DE 2022</t>
  </si>
  <si>
    <t>ADICIÓN SEG RESOLUCION(013369-MINEDUCACIÓN) Y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</si>
</sst>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7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9" fontId="7" fillId="0" borderId="44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66" fontId="7" fillId="0" borderId="57" xfId="1" applyNumberFormat="1" applyFont="1" applyBorder="1" applyAlignment="1">
      <alignment horizontal="right" vertical="center" wrapText="1"/>
    </xf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vertical="center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164" fontId="3" fillId="0" borderId="47" xfId="9" applyNumberFormat="1" applyFont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2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450000000</c:v>
                </c:pt>
                <c:pt idx="1">
                  <c:v>7157974652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4.2394904558757517E-2</c:v>
                </c:pt>
                <c:pt idx="1">
                  <c:v>0.9576050954412425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JULIO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8.3333333788790959E-2</c:v>
                </c:pt>
                <c:pt idx="1">
                  <c:v>0.16666666757758192</c:v>
                </c:pt>
                <c:pt idx="2">
                  <c:v>0.25000000136637285</c:v>
                </c:pt>
                <c:pt idx="3">
                  <c:v>0.33333333515516383</c:v>
                </c:pt>
                <c:pt idx="4">
                  <c:v>0.41666666894395477</c:v>
                </c:pt>
                <c:pt idx="5">
                  <c:v>0.5000000027327457</c:v>
                </c:pt>
                <c:pt idx="6">
                  <c:v>0.58333333652153663</c:v>
                </c:pt>
                <c:pt idx="7">
                  <c:v>0.66666667031032767</c:v>
                </c:pt>
                <c:pt idx="8">
                  <c:v>0.7500000040991186</c:v>
                </c:pt>
                <c:pt idx="9">
                  <c:v>0.83333333788790953</c:v>
                </c:pt>
                <c:pt idx="10">
                  <c:v>0.91666667167670046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4.947451221713966E-3</c:v>
                </c:pt>
                <c:pt idx="1">
                  <c:v>7.9520534078205488E-2</c:v>
                </c:pt>
                <c:pt idx="2">
                  <c:v>0.20307856868594878</c:v>
                </c:pt>
                <c:pt idx="3">
                  <c:v>0.28641561081069034</c:v>
                </c:pt>
                <c:pt idx="4">
                  <c:v>0.34366946490173339</c:v>
                </c:pt>
                <c:pt idx="5">
                  <c:v>0.45442983265344716</c:v>
                </c:pt>
                <c:pt idx="6">
                  <c:v>0.52476399693641718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JULIO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91483082</c:v>
                </c:pt>
                <c:pt idx="1">
                  <c:v>182966164</c:v>
                </c:pt>
                <c:pt idx="2">
                  <c:v>274449246</c:v>
                </c:pt>
                <c:pt idx="3">
                  <c:v>365932328</c:v>
                </c:pt>
                <c:pt idx="4">
                  <c:v>457415410</c:v>
                </c:pt>
                <c:pt idx="5">
                  <c:v>548898492</c:v>
                </c:pt>
                <c:pt idx="6">
                  <c:v>640381574</c:v>
                </c:pt>
                <c:pt idx="7">
                  <c:v>731864656</c:v>
                </c:pt>
                <c:pt idx="8">
                  <c:v>823347738</c:v>
                </c:pt>
                <c:pt idx="9">
                  <c:v>914830820</c:v>
                </c:pt>
                <c:pt idx="10">
                  <c:v>1006313902</c:v>
                </c:pt>
                <c:pt idx="11">
                  <c:v>1097796978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5431297</c:v>
                </c:pt>
                <c:pt idx="1">
                  <c:v>87297402</c:v>
                </c:pt>
                <c:pt idx="2">
                  <c:v>222939039</c:v>
                </c:pt>
                <c:pt idx="3">
                  <c:v>314426192</c:v>
                </c:pt>
                <c:pt idx="4">
                  <c:v>377279300</c:v>
                </c:pt>
                <c:pt idx="5">
                  <c:v>498871697</c:v>
                </c:pt>
                <c:pt idx="6">
                  <c:v>576084330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JULIO 31   DE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2487452756</c:v>
                </c:pt>
                <c:pt idx="1">
                  <c:v>4601080765</c:v>
                </c:pt>
                <c:pt idx="2">
                  <c:v>1140113466</c:v>
                </c:pt>
                <c:pt idx="3" formatCode="0.00%">
                  <c:v>0.2477925348915278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JULIO 31   DE 2022</a:t>
            </a:r>
          </a:p>
        </c:rich>
      </c:tx>
      <c:layout>
        <c:manualLayout>
          <c:xMode val="edge"/>
          <c:yMode val="edge"/>
          <c:x val="0.3758006535947712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8.333333331522165E-2</c:v>
                </c:pt>
                <c:pt idx="1">
                  <c:v>0.1666666666304433</c:v>
                </c:pt>
                <c:pt idx="2">
                  <c:v>0.24999999994566494</c:v>
                </c:pt>
                <c:pt idx="3">
                  <c:v>0.3333333332608866</c:v>
                </c:pt>
                <c:pt idx="4">
                  <c:v>0.41666666657610824</c:v>
                </c:pt>
                <c:pt idx="5">
                  <c:v>0.49999999989132987</c:v>
                </c:pt>
                <c:pt idx="6">
                  <c:v>0.58333333320655156</c:v>
                </c:pt>
                <c:pt idx="7">
                  <c:v>0.6666666665217732</c:v>
                </c:pt>
                <c:pt idx="8">
                  <c:v>0.74999999983699484</c:v>
                </c:pt>
                <c:pt idx="9">
                  <c:v>0.83333333315221647</c:v>
                </c:pt>
                <c:pt idx="10">
                  <c:v>0.91666666646743811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1.1962654604694816E-2</c:v>
                </c:pt>
                <c:pt idx="2">
                  <c:v>5.5092445654993841E-2</c:v>
                </c:pt>
                <c:pt idx="3">
                  <c:v>9.3938954362171465E-2</c:v>
                </c:pt>
                <c:pt idx="4">
                  <c:v>0.12298544361674556</c:v>
                </c:pt>
                <c:pt idx="5">
                  <c:v>0.18455336199689595</c:v>
                </c:pt>
                <c:pt idx="6">
                  <c:v>0.2477925348915278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14-17'!$C$5:$C$8</c:f>
              <c:numCache>
                <c:formatCode>#,##0</c:formatCode>
                <c:ptCount val="2"/>
                <c:pt idx="0">
                  <c:v>350000000</c:v>
                </c:pt>
                <c:pt idx="1">
                  <c:v>2137452756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14-17'!$F$4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14-17'!$F$5:$F$8</c:f>
              <c:numCache>
                <c:formatCode>#,##0</c:formatCode>
                <c:ptCount val="2"/>
                <c:pt idx="0">
                  <c:v>305685416</c:v>
                </c:pt>
                <c:pt idx="1">
                  <c:v>1697220921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14-17'!$G$4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14-17'!$G$5:$G$8</c:f>
              <c:numCache>
                <c:formatCode>#,##0</c:formatCode>
                <c:ptCount val="2"/>
                <c:pt idx="0">
                  <c:v>222211442</c:v>
                </c:pt>
                <c:pt idx="1">
                  <c:v>917902024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14-17'!$H$4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14-17'!$H$5:$H$8</c:f>
              <c:numCache>
                <c:formatCode>#,##0</c:formatCode>
                <c:ptCount val="2"/>
                <c:pt idx="0">
                  <c:v>213902275</c:v>
                </c:pt>
                <c:pt idx="1">
                  <c:v>868715536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JULIO 31   DE 2022</a:t>
            </a:r>
          </a:p>
        </c:rich>
      </c:tx>
      <c:layout>
        <c:manualLayout>
          <c:xMode val="edge"/>
          <c:yMode val="edge"/>
          <c:x val="0.33263297252359258"/>
          <c:y val="9.2591039957772656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14-17'!$I$4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14-17'!$I$5:$I$8</c:f>
              <c:numCache>
                <c:formatCode>0.0%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14-17'!$J$4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14-17'!$J$5:$J$8</c:f>
              <c:numCache>
                <c:formatCode>0.0%</c:formatCode>
                <c:ptCount val="2"/>
                <c:pt idx="0">
                  <c:v>0.87338690285714282</c:v>
                </c:pt>
                <c:pt idx="1">
                  <c:v>0.39924457210353659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14-17'!$K$4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14-17'!$K$5:$K$8</c:f>
              <c:numCache>
                <c:formatCode>0.0%</c:formatCode>
                <c:ptCount val="2"/>
                <c:pt idx="0">
                  <c:v>0.63488983428571433</c:v>
                </c:pt>
                <c:pt idx="1">
                  <c:v>0.21592203835722704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14-17'!$L$4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14-17'!$L$5:$L$8</c:f>
              <c:numCache>
                <c:formatCode>0.0%</c:formatCode>
                <c:ptCount val="2"/>
                <c:pt idx="0">
                  <c:v>0.61114935714285712</c:v>
                </c:pt>
                <c:pt idx="1">
                  <c:v>0.20435168937563106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38662660</c:v>
                </c:pt>
                <c:pt idx="1">
                  <c:v>1819892906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5.0818597285726078E-3</c:v>
                </c:pt>
                <c:pt idx="1">
                  <c:v>0.23920859220023594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Presupuesto Definitivo 2022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  <c:pt idx="3">
                  <c:v>450000000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Recaudos Acumulados (PERIODO) 2022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2022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2022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JULIO 31   DE 2022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5120521896</c:v>
                </c:pt>
                <c:pt idx="1">
                  <c:v>892880487</c:v>
                </c:pt>
                <c:pt idx="2">
                  <c:v>0</c:v>
                </c:pt>
                <c:pt idx="3">
                  <c:v>6013402383</c:v>
                </c:pt>
                <c:pt idx="4">
                  <c:v>2479147585</c:v>
                </c:pt>
                <c:pt idx="5">
                  <c:v>2007883032</c:v>
                </c:pt>
                <c:pt idx="6">
                  <c:v>1964009090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2487452756</c:v>
                </c:pt>
                <c:pt idx="1">
                  <c:v>2113628009</c:v>
                </c:pt>
                <c:pt idx="3">
                  <c:v>4601080765</c:v>
                </c:pt>
                <c:pt idx="4">
                  <c:v>2002906337</c:v>
                </c:pt>
                <c:pt idx="5">
                  <c:v>1140113466</c:v>
                </c:pt>
                <c:pt idx="6">
                  <c:v>1082617811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JULIO 31   DE 2022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08303272434"/>
          <c:y val="3.813414640423739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GASTOS'!$A$5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GASTOS'!$B$5:$H$5</c:f>
              <c:numCache>
                <c:formatCode>#,##0</c:formatCode>
                <c:ptCount val="7"/>
                <c:pt idx="0">
                  <c:v>2324325611</c:v>
                </c:pt>
                <c:pt idx="1">
                  <c:v>892880487</c:v>
                </c:pt>
                <c:pt idx="2">
                  <c:v>0</c:v>
                </c:pt>
                <c:pt idx="3">
                  <c:v>3217206098</c:v>
                </c:pt>
                <c:pt idx="4">
                  <c:v>1518673145</c:v>
                </c:pt>
                <c:pt idx="5">
                  <c:v>1420140978</c:v>
                </c:pt>
                <c:pt idx="6">
                  <c:v>1392954490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GASTOS'!$A$6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GASTOS'!$B$6:$H$6</c:f>
              <c:numCache>
                <c:formatCode>#,##0</c:formatCode>
                <c:ptCount val="7"/>
                <c:pt idx="0">
                  <c:v>1097796978</c:v>
                </c:pt>
                <c:pt idx="1">
                  <c:v>0</c:v>
                </c:pt>
                <c:pt idx="2">
                  <c:v>0</c:v>
                </c:pt>
                <c:pt idx="3">
                  <c:v>1097796978</c:v>
                </c:pt>
                <c:pt idx="4">
                  <c:v>916686758</c:v>
                </c:pt>
                <c:pt idx="5">
                  <c:v>576084330</c:v>
                </c:pt>
                <c:pt idx="6">
                  <c:v>559396876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GASTOS'!$A$7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GASTOS'!$B$7:$H$7</c:f>
              <c:numCache>
                <c:formatCode>#,##0</c:formatCode>
                <c:ptCount val="7"/>
                <c:pt idx="0">
                  <c:v>1698399307</c:v>
                </c:pt>
                <c:pt idx="1">
                  <c:v>0</c:v>
                </c:pt>
                <c:pt idx="2">
                  <c:v>0</c:v>
                </c:pt>
                <c:pt idx="3">
                  <c:v>1698399307</c:v>
                </c:pt>
                <c:pt idx="4">
                  <c:v>43787682</c:v>
                </c:pt>
                <c:pt idx="5">
                  <c:v>11657724</c:v>
                </c:pt>
                <c:pt idx="6">
                  <c:v>11657724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GASTOS'!$A$9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GASTOS'!$B$9:$H$9</c:f>
              <c:numCache>
                <c:formatCode>#,##0</c:formatCode>
                <c:ptCount val="7"/>
                <c:pt idx="0">
                  <c:v>2487452756</c:v>
                </c:pt>
                <c:pt idx="1">
                  <c:v>2113628009</c:v>
                </c:pt>
                <c:pt idx="2">
                  <c:v>0</c:v>
                </c:pt>
                <c:pt idx="3">
                  <c:v>4601080765</c:v>
                </c:pt>
                <c:pt idx="4">
                  <c:v>2002906337</c:v>
                </c:pt>
                <c:pt idx="5">
                  <c:v>1140113466</c:v>
                </c:pt>
                <c:pt idx="6">
                  <c:v>1082617811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GASTOS'!$A$10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GASTOS'!$B$10:$H$10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JULIO 31   DE 2022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8.333333297069985E-2</c:v>
                </c:pt>
                <c:pt idx="1">
                  <c:v>0.1666666659413997</c:v>
                </c:pt>
                <c:pt idx="2">
                  <c:v>0.24999999891209954</c:v>
                </c:pt>
                <c:pt idx="3">
                  <c:v>0.3333333318827994</c:v>
                </c:pt>
                <c:pt idx="4">
                  <c:v>0.41666666485349924</c:v>
                </c:pt>
                <c:pt idx="5">
                  <c:v>0.49999999782419907</c:v>
                </c:pt>
                <c:pt idx="6">
                  <c:v>0.58333333079489891</c:v>
                </c:pt>
                <c:pt idx="7">
                  <c:v>0.6666666637655988</c:v>
                </c:pt>
                <c:pt idx="8">
                  <c:v>0.74999999673629858</c:v>
                </c:pt>
                <c:pt idx="9">
                  <c:v>0.83333332970699847</c:v>
                </c:pt>
                <c:pt idx="10">
                  <c:v>0.91666666267769825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3.5707132369111903E-2</c:v>
                </c:pt>
                <c:pt idx="1">
                  <c:v>8.2390236101063122E-2</c:v>
                </c:pt>
                <c:pt idx="2">
                  <c:v>0.15091177755190244</c:v>
                </c:pt>
                <c:pt idx="3">
                  <c:v>0.22659507839836251</c:v>
                </c:pt>
                <c:pt idx="4">
                  <c:v>0.30279377768355825</c:v>
                </c:pt>
                <c:pt idx="5">
                  <c:v>0.3921202877814513</c:v>
                </c:pt>
                <c:pt idx="6">
                  <c:v>0.44142057883168911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JULIO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268100507</c:v>
                </c:pt>
                <c:pt idx="1">
                  <c:v>536201014</c:v>
                </c:pt>
                <c:pt idx="2">
                  <c:v>804301521</c:v>
                </c:pt>
                <c:pt idx="3">
                  <c:v>1072402028</c:v>
                </c:pt>
                <c:pt idx="4">
                  <c:v>1340502535</c:v>
                </c:pt>
                <c:pt idx="5">
                  <c:v>1608603042</c:v>
                </c:pt>
                <c:pt idx="6">
                  <c:v>1876703549</c:v>
                </c:pt>
                <c:pt idx="7">
                  <c:v>2144804056</c:v>
                </c:pt>
                <c:pt idx="8">
                  <c:v>2412904563</c:v>
                </c:pt>
                <c:pt idx="9">
                  <c:v>2681005070</c:v>
                </c:pt>
                <c:pt idx="10">
                  <c:v>2949105577</c:v>
                </c:pt>
                <c:pt idx="11">
                  <c:v>3217206098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114877204</c:v>
                </c:pt>
                <c:pt idx="1">
                  <c:v>265066370</c:v>
                </c:pt>
                <c:pt idx="2">
                  <c:v>485514291</c:v>
                </c:pt>
                <c:pt idx="3">
                  <c:v>729003068</c:v>
                </c:pt>
                <c:pt idx="4">
                  <c:v>974149988</c:v>
                </c:pt>
                <c:pt idx="5">
                  <c:v>1261531781</c:v>
                </c:pt>
                <c:pt idx="6">
                  <c:v>1420140978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9</xdr:row>
      <xdr:rowOff>113130</xdr:rowOff>
    </xdr:from>
    <xdr:to>
      <xdr:col>14</xdr:col>
      <xdr:colOff>110526</xdr:colOff>
      <xdr:row>43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246031</xdr:colOff>
      <xdr:row>9</xdr:row>
      <xdr:rowOff>129664</xdr:rowOff>
    </xdr:from>
    <xdr:to>
      <xdr:col>29</xdr:col>
      <xdr:colOff>530165</xdr:colOff>
      <xdr:row>43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42861</xdr:rowOff>
    </xdr:from>
    <xdr:to>
      <xdr:col>14</xdr:col>
      <xdr:colOff>609599</xdr:colOff>
      <xdr:row>40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306951</xdr:colOff>
      <xdr:row>13</xdr:row>
      <xdr:rowOff>4249</xdr:rowOff>
    </xdr:from>
    <xdr:to>
      <xdr:col>12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600074</xdr:colOff>
      <xdr:row>27</xdr:row>
      <xdr:rowOff>14285</xdr:rowOff>
    </xdr:from>
    <xdr:to>
      <xdr:col>11</xdr:col>
      <xdr:colOff>190500</xdr:colOff>
      <xdr:row>51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K10" sqref="K10"/>
    </sheetView>
  </sheetViews>
  <sheetFormatPr baseColWidth="10" defaultRowHeight="12.75" x14ac:dyDescent="0.2"/>
  <cols>
    <col min="2" max="2" width="23" bestFit="1" customWidth="1"/>
    <col min="3" max="3" width="15.42578125" bestFit="1" customWidth="1"/>
    <col min="4" max="5" width="15.42578125" customWidth="1"/>
    <col min="6" max="6" width="18.28515625" customWidth="1"/>
    <col min="7" max="7" width="17.28515625" customWidth="1"/>
    <col min="8" max="8" width="17" customWidth="1"/>
    <col min="9" max="9" width="18.140625" customWidth="1"/>
    <col min="11" max="11" width="13.8554687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38" t="s">
        <v>101</v>
      </c>
      <c r="C3" s="239"/>
      <c r="D3" s="239"/>
      <c r="E3" s="239"/>
      <c r="F3" s="239"/>
      <c r="G3" s="239"/>
      <c r="H3" s="239"/>
      <c r="I3" s="240"/>
    </row>
    <row r="4" spans="2:14" ht="13.5" customHeight="1" thickBot="1" x14ac:dyDescent="0.25">
      <c r="B4" s="235" t="s">
        <v>126</v>
      </c>
      <c r="C4" s="236"/>
      <c r="D4" s="236"/>
      <c r="E4" s="236"/>
      <c r="F4" s="236"/>
      <c r="G4" s="236"/>
      <c r="H4" s="236"/>
      <c r="I4" s="237"/>
    </row>
    <row r="5" spans="2:14" ht="13.5" thickBot="1" x14ac:dyDescent="0.25"/>
    <row r="6" spans="2:14" ht="64.5" thickBot="1" x14ac:dyDescent="0.25">
      <c r="B6" s="138" t="s">
        <v>90</v>
      </c>
      <c r="C6" s="212" t="s">
        <v>119</v>
      </c>
      <c r="D6" s="228" t="s">
        <v>131</v>
      </c>
      <c r="E6" s="228" t="s">
        <v>121</v>
      </c>
      <c r="F6" s="213" t="s">
        <v>118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450000000</v>
      </c>
      <c r="D7" s="229">
        <v>0</v>
      </c>
      <c r="E7" s="230">
        <v>0</v>
      </c>
      <c r="F7" s="142">
        <f>C7+D7-E7</f>
        <v>450000000</v>
      </c>
      <c r="G7" s="31">
        <f>F7/F10</f>
        <v>4.2394904558757517E-2</v>
      </c>
      <c r="H7" s="227">
        <v>38662660</v>
      </c>
      <c r="I7" s="178">
        <f>H7/F10</f>
        <v>3.6424439570837595E-3</v>
      </c>
      <c r="K7" s="164"/>
      <c r="M7" s="154"/>
    </row>
    <row r="8" spans="2:14" ht="13.5" customHeight="1" thickBot="1" x14ac:dyDescent="0.25">
      <c r="B8" s="137" t="s">
        <v>105</v>
      </c>
      <c r="C8" s="143">
        <v>7157974652</v>
      </c>
      <c r="D8" s="208">
        <v>3006508496</v>
      </c>
      <c r="E8" s="230">
        <v>0</v>
      </c>
      <c r="F8" s="142">
        <f>C8+D8-E8</f>
        <v>10164483148</v>
      </c>
      <c r="G8" s="31">
        <f>F8/F10</f>
        <v>0.9576050954412425</v>
      </c>
      <c r="H8" s="191">
        <v>1819892906</v>
      </c>
      <c r="I8" s="180">
        <f>H8/F10</f>
        <v>0.1714537467933997</v>
      </c>
      <c r="K8" s="164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31">
        <v>0</v>
      </c>
      <c r="F9" s="142">
        <f>C9+D9-E9</f>
        <v>0</v>
      </c>
      <c r="G9" s="31">
        <f>C9/C10</f>
        <v>0</v>
      </c>
      <c r="H9" s="146">
        <v>0</v>
      </c>
      <c r="I9" s="181">
        <f>H9/F10</f>
        <v>0</v>
      </c>
    </row>
    <row r="10" spans="2:14" ht="13.5" thickBot="1" x14ac:dyDescent="0.25">
      <c r="B10" s="147" t="s">
        <v>89</v>
      </c>
      <c r="C10" s="206">
        <f>+C7+C8+C9</f>
        <v>7607974652</v>
      </c>
      <c r="D10" s="206">
        <f>SUM(D7:D9)</f>
        <v>3006508496</v>
      </c>
      <c r="E10" s="232">
        <f>SUM(E7:E9)</f>
        <v>0</v>
      </c>
      <c r="F10" s="206">
        <f>+F7+F8+F9</f>
        <v>10614483148</v>
      </c>
      <c r="G10" s="149">
        <f>SUM(G7:G9)</f>
        <v>1</v>
      </c>
      <c r="H10" s="148">
        <f>SUM(H7:H9)</f>
        <v>1858555566</v>
      </c>
      <c r="I10" s="179">
        <f>SUM(I7:I9)</f>
        <v>0.17509619075048347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7"/>
      <c r="E32" s="207"/>
      <c r="F32" s="207"/>
      <c r="G32" s="141" t="s">
        <v>96</v>
      </c>
    </row>
    <row r="33" spans="2:15" x14ac:dyDescent="0.2">
      <c r="B33" s="136" t="s">
        <v>92</v>
      </c>
      <c r="C33" s="142">
        <f>+H7</f>
        <v>38662660</v>
      </c>
      <c r="D33" s="208"/>
      <c r="E33" s="208"/>
      <c r="F33" s="208"/>
      <c r="G33" s="178">
        <f>C33/C10</f>
        <v>5.0818597285726078E-3</v>
      </c>
    </row>
    <row r="34" spans="2:15" ht="13.5" thickBot="1" x14ac:dyDescent="0.25">
      <c r="B34" s="137" t="s">
        <v>93</v>
      </c>
      <c r="C34" s="142">
        <f>+H8</f>
        <v>1819892906</v>
      </c>
      <c r="D34" s="208"/>
      <c r="E34" s="208"/>
      <c r="F34" s="208"/>
      <c r="G34" s="180">
        <f>C34/C10</f>
        <v>0.23920859220023594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9"/>
      <c r="E35" s="209"/>
      <c r="F35" s="209"/>
      <c r="G35" s="181">
        <f>C35/C10</f>
        <v>0</v>
      </c>
    </row>
    <row r="36" spans="2:15" ht="13.5" thickBot="1" x14ac:dyDescent="0.25">
      <c r="B36" s="147" t="s">
        <v>89</v>
      </c>
      <c r="C36" s="205">
        <f>SUM(C33:C35)</f>
        <v>1858555566</v>
      </c>
      <c r="D36" s="210"/>
      <c r="E36" s="210"/>
      <c r="F36" s="210"/>
      <c r="G36" s="211">
        <f>SUM(G33:G35)</f>
        <v>0.24429045192880855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scale="81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F4" sqref="F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60" t="s">
        <v>129</v>
      </c>
      <c r="C2" s="261"/>
      <c r="D2" s="261"/>
      <c r="E2" s="261"/>
      <c r="F2" s="262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2487452756</v>
      </c>
      <c r="D4" s="53">
        <f>2487452756+2113628009</f>
        <v>4601080765</v>
      </c>
      <c r="E4" s="53">
        <v>1140113466</v>
      </c>
      <c r="F4" s="188">
        <f>E4/D4</f>
        <v>0.2477925348915278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workbookViewId="0">
      <selection activeCell="E13" sqref="E13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57" t="s">
        <v>130</v>
      </c>
      <c r="B5" s="258"/>
      <c r="C5" s="258"/>
      <c r="D5" s="258"/>
      <c r="E5" s="259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2">
        <f>207287730+176135667</f>
        <v>383423397</v>
      </c>
      <c r="C7" s="47">
        <v>0</v>
      </c>
      <c r="D7" s="48">
        <f>+B7/$B$18</f>
        <v>8.333333331522165E-2</v>
      </c>
      <c r="E7" s="189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2">
        <f>+$B$7*2</f>
        <v>766846794</v>
      </c>
      <c r="C8" s="47">
        <v>55041140</v>
      </c>
      <c r="D8" s="48">
        <f>+B8/$B$18</f>
        <v>0.1666666666304433</v>
      </c>
      <c r="E8" s="189">
        <f t="shared" ref="D8:E18" si="0">+C8/$B$18</f>
        <v>1.1962654604694816E-2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2">
        <f>+$B$7*3</f>
        <v>1150270191</v>
      </c>
      <c r="C9" s="47">
        <v>253484792</v>
      </c>
      <c r="D9" s="48">
        <f t="shared" si="0"/>
        <v>0.24999999994566494</v>
      </c>
      <c r="E9" s="189">
        <f t="shared" si="0"/>
        <v>5.5092445654993841E-2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2">
        <f>+$B$7*4</f>
        <v>1533693588</v>
      </c>
      <c r="C10" s="47">
        <v>432220716</v>
      </c>
      <c r="D10" s="48">
        <f t="shared" si="0"/>
        <v>0.3333333332608866</v>
      </c>
      <c r="E10" s="189">
        <f t="shared" si="0"/>
        <v>9.3938954362171465E-2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2">
        <f>+$B$7*5</f>
        <v>1917116985</v>
      </c>
      <c r="C11" s="47">
        <v>565865959</v>
      </c>
      <c r="D11" s="48">
        <f t="shared" si="0"/>
        <v>0.41666666657610824</v>
      </c>
      <c r="E11" s="189">
        <f t="shared" si="0"/>
        <v>0.12298544361674556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2">
        <f>+$B$7*6</f>
        <v>2300540382</v>
      </c>
      <c r="C12" s="47">
        <v>849144924</v>
      </c>
      <c r="D12" s="48">
        <f t="shared" si="0"/>
        <v>0.49999999989132987</v>
      </c>
      <c r="E12" s="189">
        <f t="shared" si="0"/>
        <v>0.18455336199689595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2">
        <f>+$B$7*7</f>
        <v>2683963779</v>
      </c>
      <c r="C13" s="47">
        <v>1140113466</v>
      </c>
      <c r="D13" s="48">
        <f t="shared" si="0"/>
        <v>0.58333333320655156</v>
      </c>
      <c r="E13" s="189">
        <f t="shared" si="0"/>
        <v>0.2477925348915278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2">
        <f>+$B$7*8</f>
        <v>3067387176</v>
      </c>
      <c r="C14" s="47">
        <v>0</v>
      </c>
      <c r="D14" s="48">
        <f t="shared" si="0"/>
        <v>0.6666666665217732</v>
      </c>
      <c r="E14" s="189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2">
        <f>+$B$7*9</f>
        <v>3450810573</v>
      </c>
      <c r="C15" s="47">
        <v>0</v>
      </c>
      <c r="D15" s="48">
        <f>+B15/$B$18</f>
        <v>0.74999999983699484</v>
      </c>
      <c r="E15" s="189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2">
        <f>+$B$7*10</f>
        <v>3834233970</v>
      </c>
      <c r="C16" s="47">
        <v>0</v>
      </c>
      <c r="D16" s="48">
        <f>+B16/$B$18</f>
        <v>0.83333333315221647</v>
      </c>
      <c r="E16" s="189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2">
        <f>+$B$7*11</f>
        <v>4217657367</v>
      </c>
      <c r="C17" s="47">
        <v>0</v>
      </c>
      <c r="D17" s="48">
        <f>+B17/$B$18</f>
        <v>0.91666666646743811</v>
      </c>
      <c r="E17" s="189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4">
        <f>+$B$7*12+1</f>
        <v>4601080765</v>
      </c>
      <c r="C18" s="225">
        <v>0</v>
      </c>
      <c r="D18" s="56">
        <f>+B18/$B$18</f>
        <v>1</v>
      </c>
      <c r="E18" s="226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5"/>
  <sheetViews>
    <sheetView zoomScale="106" zoomScaleNormal="106" workbookViewId="0">
      <selection activeCell="K9" sqref="K9"/>
    </sheetView>
  </sheetViews>
  <sheetFormatPr baseColWidth="10" defaultRowHeight="12.75" x14ac:dyDescent="0.2"/>
  <cols>
    <col min="1" max="1" width="17" customWidth="1"/>
    <col min="2" max="2" width="53.5703125" customWidth="1"/>
    <col min="3" max="7" width="16.7109375" customWidth="1"/>
    <col min="8" max="8" width="15.28515625" customWidth="1"/>
    <col min="9" max="12" width="11" customWidth="1"/>
  </cols>
  <sheetData>
    <row r="1" spans="1:12" ht="48" customHeight="1" x14ac:dyDescent="0.2"/>
    <row r="2" spans="1:12" ht="20.25" customHeight="1" x14ac:dyDescent="0.2">
      <c r="B2" s="263" t="s">
        <v>42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ht="26.25" customHeight="1" thickBot="1" x14ac:dyDescent="0.25">
      <c r="B3" s="264" t="s">
        <v>126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</row>
    <row r="4" spans="1:12" ht="86.25" customHeight="1" thickBot="1" x14ac:dyDescent="0.25">
      <c r="A4" s="195" t="s">
        <v>110</v>
      </c>
      <c r="B4" s="60" t="s">
        <v>20</v>
      </c>
      <c r="C4" s="60" t="s">
        <v>117</v>
      </c>
      <c r="D4" s="60" t="str">
        <f>'EJECUCIÓN DE GASTOS'!C4</f>
        <v>ADICIÓN SEG RESOLUCION(013369-MINEDUCACIÓN) Y ACUERDOS</v>
      </c>
      <c r="E4" s="60" t="s">
        <v>21</v>
      </c>
      <c r="F4" s="61" t="s">
        <v>22</v>
      </c>
      <c r="G4" s="61" t="s">
        <v>23</v>
      </c>
      <c r="H4" s="62" t="s">
        <v>24</v>
      </c>
      <c r="I4" s="63" t="s">
        <v>43</v>
      </c>
      <c r="J4" s="63" t="s">
        <v>28</v>
      </c>
      <c r="K4" s="63" t="s">
        <v>29</v>
      </c>
      <c r="L4" s="155" t="s">
        <v>30</v>
      </c>
    </row>
    <row r="5" spans="1:12" ht="55.5" customHeight="1" thickBot="1" x14ac:dyDescent="0.25">
      <c r="A5" s="193" t="s">
        <v>113</v>
      </c>
      <c r="B5" s="194" t="s">
        <v>115</v>
      </c>
      <c r="C5" s="150">
        <v>350000000</v>
      </c>
      <c r="D5" s="150"/>
      <c r="E5" s="150">
        <f>C5+D5</f>
        <v>350000000</v>
      </c>
      <c r="F5" s="40">
        <v>305685416</v>
      </c>
      <c r="G5" s="40">
        <v>222211442</v>
      </c>
      <c r="H5" s="40">
        <v>213902275</v>
      </c>
      <c r="I5" s="156">
        <v>1</v>
      </c>
      <c r="J5" s="156">
        <f>F5/E5</f>
        <v>0.87338690285714282</v>
      </c>
      <c r="K5" s="157">
        <f>G5/E5</f>
        <v>0.63488983428571433</v>
      </c>
      <c r="L5" s="157">
        <f>H5/E5</f>
        <v>0.61114935714285712</v>
      </c>
    </row>
    <row r="6" spans="1:12" ht="55.5" customHeight="1" thickBot="1" x14ac:dyDescent="0.25">
      <c r="A6" s="193" t="s">
        <v>114</v>
      </c>
      <c r="B6" s="194" t="s">
        <v>116</v>
      </c>
      <c r="C6" s="150">
        <v>2137452756</v>
      </c>
      <c r="D6" s="150">
        <f>'EJE DE FUNCIONAMIENTO E INVERSI'!C6</f>
        <v>2113628009</v>
      </c>
      <c r="E6" s="150">
        <f>C6+D6</f>
        <v>4251080765</v>
      </c>
      <c r="F6" s="219">
        <v>1697220921</v>
      </c>
      <c r="G6" s="219">
        <v>917902024</v>
      </c>
      <c r="H6" s="219">
        <v>868715536</v>
      </c>
      <c r="I6" s="156">
        <v>1</v>
      </c>
      <c r="J6" s="156">
        <f>F6/E6</f>
        <v>0.39924457210353659</v>
      </c>
      <c r="K6" s="157">
        <f>G6/E6</f>
        <v>0.21592203835722704</v>
      </c>
      <c r="L6" s="157">
        <f>H6/E6</f>
        <v>0.20435168937563106</v>
      </c>
    </row>
    <row r="7" spans="1:12" ht="55.5" hidden="1" customHeight="1" thickBot="1" x14ac:dyDescent="0.25">
      <c r="A7" s="193"/>
      <c r="B7" s="194"/>
      <c r="C7" s="150"/>
      <c r="D7" s="150"/>
      <c r="E7" s="150"/>
      <c r="F7" s="40"/>
      <c r="G7" s="40"/>
      <c r="H7" s="40"/>
      <c r="I7" s="156"/>
      <c r="J7" s="156" t="e">
        <f t="shared" ref="J6:J9" si="0">F7/E7</f>
        <v>#DIV/0!</v>
      </c>
      <c r="K7" s="157" t="e">
        <f t="shared" ref="K6:K9" si="1">G7/E7</f>
        <v>#DIV/0!</v>
      </c>
      <c r="L7" s="157" t="e">
        <f t="shared" ref="L6:L9" si="2">H7/E7</f>
        <v>#DIV/0!</v>
      </c>
    </row>
    <row r="8" spans="1:12" ht="55.5" hidden="1" customHeight="1" thickBot="1" x14ac:dyDescent="0.25">
      <c r="A8" s="193"/>
      <c r="B8" s="194"/>
      <c r="C8" s="150"/>
      <c r="D8" s="150"/>
      <c r="E8" s="150"/>
      <c r="F8" s="40"/>
      <c r="G8" s="40"/>
      <c r="H8" s="40"/>
      <c r="I8" s="156"/>
      <c r="J8" s="156" t="e">
        <f t="shared" si="0"/>
        <v>#DIV/0!</v>
      </c>
      <c r="K8" s="157" t="e">
        <f t="shared" si="1"/>
        <v>#DIV/0!</v>
      </c>
      <c r="L8" s="157" t="e">
        <f t="shared" si="2"/>
        <v>#DIV/0!</v>
      </c>
    </row>
    <row r="9" spans="1:12" ht="26.25" customHeight="1" thickBot="1" x14ac:dyDescent="0.25">
      <c r="B9" s="177"/>
      <c r="C9" s="150">
        <f>+SUM(C5:C8)</f>
        <v>2487452756</v>
      </c>
      <c r="D9" s="150">
        <f>D6</f>
        <v>2113628009</v>
      </c>
      <c r="E9" s="150">
        <f>SUM(C9:D9)</f>
        <v>4601080765</v>
      </c>
      <c r="F9" s="150">
        <f>+SUM(F5:F8)</f>
        <v>2002906337</v>
      </c>
      <c r="G9" s="176">
        <f>+SUM(G5:G8)</f>
        <v>1140113466</v>
      </c>
      <c r="H9" s="176">
        <f>+SUM(H5:H8)</f>
        <v>1082617811</v>
      </c>
      <c r="I9" s="158">
        <v>1</v>
      </c>
      <c r="J9" s="156">
        <f>F9/E9</f>
        <v>0.43531214497166082</v>
      </c>
      <c r="K9" s="157">
        <f>G9/E9</f>
        <v>0.2477925348915278</v>
      </c>
      <c r="L9" s="157">
        <f>H9/E9</f>
        <v>0.23529641540643551</v>
      </c>
    </row>
    <row r="12" spans="1:12" x14ac:dyDescent="0.2">
      <c r="A12" s="45"/>
    </row>
    <row r="13" spans="1:12" x14ac:dyDescent="0.2">
      <c r="A13" s="154"/>
    </row>
    <row r="15" spans="1:12" x14ac:dyDescent="0.2">
      <c r="A15" s="45"/>
    </row>
  </sheetData>
  <mergeCells count="2">
    <mergeCell ref="B2:L2"/>
    <mergeCell ref="B3:L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65" t="s">
        <v>60</v>
      </c>
      <c r="B16" s="266"/>
      <c r="C16" s="266"/>
      <c r="D16" s="266"/>
      <c r="E16" s="266"/>
      <c r="F16" s="267"/>
    </row>
    <row r="17" spans="1:6" ht="25.5" customHeight="1" thickBot="1" x14ac:dyDescent="0.25">
      <c r="A17" s="268"/>
      <c r="B17" s="269"/>
      <c r="C17" s="269"/>
      <c r="D17" s="269"/>
      <c r="E17" s="269"/>
      <c r="F17" s="27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71" t="str">
        <f>+A16</f>
        <v>EJECUCIÓN PRESUPUESTAL
RESERVAS PRESUPUESTALES
A AGOSTO 31 DE 2015</v>
      </c>
      <c r="B31" s="272"/>
      <c r="C31" s="272"/>
      <c r="D31" s="272"/>
      <c r="E31" s="27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41" t="s">
        <v>88</v>
      </c>
      <c r="B2" s="242"/>
      <c r="C2" s="242"/>
      <c r="D2" s="242"/>
      <c r="E2" s="242"/>
      <c r="F2" s="242"/>
      <c r="G2" s="243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74" t="s">
        <v>65</v>
      </c>
      <c r="B19" s="275"/>
      <c r="C19" s="27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44" t="s">
        <v>65</v>
      </c>
      <c r="B28" s="277"/>
      <c r="C28" s="277"/>
      <c r="D28" s="245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14"/>
  <sheetViews>
    <sheetView workbookViewId="0">
      <selection activeCell="C4" sqref="C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41" t="s">
        <v>123</v>
      </c>
      <c r="B2" s="242"/>
      <c r="C2" s="242"/>
      <c r="D2" s="243"/>
    </row>
    <row r="3" spans="1:6" s="113" customFormat="1" ht="39" thickBot="1" x14ac:dyDescent="0.25">
      <c r="A3" s="110" t="s">
        <v>106</v>
      </c>
      <c r="B3" s="111" t="s">
        <v>124</v>
      </c>
      <c r="C3" s="112" t="s">
        <v>125</v>
      </c>
      <c r="D3" s="111" t="s">
        <v>107</v>
      </c>
    </row>
    <row r="4" spans="1:6" x14ac:dyDescent="0.2">
      <c r="A4" s="114" t="s">
        <v>75</v>
      </c>
      <c r="B4" s="196">
        <f>'EJE INGRESOS'!F7</f>
        <v>450000000</v>
      </c>
      <c r="C4" s="159">
        <v>0</v>
      </c>
      <c r="D4" s="160">
        <f>C4/B4</f>
        <v>0</v>
      </c>
      <c r="E4" s="117"/>
      <c r="F4" s="171"/>
    </row>
    <row r="5" spans="1:6" x14ac:dyDescent="0.2">
      <c r="A5" s="114" t="s">
        <v>76</v>
      </c>
      <c r="B5" s="197">
        <v>0</v>
      </c>
      <c r="C5" s="115">
        <v>0</v>
      </c>
      <c r="D5" s="161" t="e">
        <f>C5/B5</f>
        <v>#DIV/0!</v>
      </c>
      <c r="E5" s="113"/>
      <c r="F5" s="118"/>
    </row>
    <row r="6" spans="1:6" ht="18.75" customHeight="1" thickBot="1" x14ac:dyDescent="0.25">
      <c r="A6" s="165" t="s">
        <v>85</v>
      </c>
      <c r="B6" s="166">
        <f>'EJE INGRESOS'!C9</f>
        <v>0</v>
      </c>
      <c r="C6" s="167">
        <f>'EJE INGRESOS'!C35</f>
        <v>0</v>
      </c>
      <c r="D6" s="182"/>
      <c r="E6" s="113"/>
    </row>
    <row r="7" spans="1:6" ht="13.5" thickBot="1" x14ac:dyDescent="0.25">
      <c r="A7" s="168" t="s">
        <v>87</v>
      </c>
      <c r="B7" s="169">
        <f>SUM(B4:B6)</f>
        <v>450000000</v>
      </c>
      <c r="C7" s="170">
        <f>SUM(C4:C6)</f>
        <v>0</v>
      </c>
      <c r="D7" s="186">
        <f>C7/B7</f>
        <v>0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44" t="s">
        <v>108</v>
      </c>
      <c r="B10" s="245"/>
      <c r="C10" s="172"/>
    </row>
    <row r="11" spans="1:6" ht="12.75" customHeight="1" x14ac:dyDescent="0.2">
      <c r="A11" s="125" t="s">
        <v>66</v>
      </c>
      <c r="B11" s="162">
        <v>2022</v>
      </c>
      <c r="C11" s="173"/>
    </row>
    <row r="12" spans="1:6" x14ac:dyDescent="0.2">
      <c r="A12" s="99" t="s">
        <v>69</v>
      </c>
      <c r="B12" s="101">
        <f>B7</f>
        <v>450000000</v>
      </c>
      <c r="C12" s="174"/>
    </row>
    <row r="13" spans="1:6" x14ac:dyDescent="0.2">
      <c r="A13" s="163" t="s">
        <v>109</v>
      </c>
      <c r="B13" s="101">
        <f>C7</f>
        <v>0</v>
      </c>
      <c r="C13" s="174"/>
    </row>
    <row r="14" spans="1:6" ht="13.5" thickBot="1" x14ac:dyDescent="0.25">
      <c r="A14" s="102" t="s">
        <v>71</v>
      </c>
      <c r="B14" s="187">
        <f>+B13/B12</f>
        <v>0</v>
      </c>
      <c r="C14" s="175"/>
    </row>
  </sheetData>
  <mergeCells count="2">
    <mergeCell ref="A2:D2"/>
    <mergeCell ref="A10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workbookViewId="0">
      <selection activeCell="P4" sqref="P4"/>
    </sheetView>
  </sheetViews>
  <sheetFormatPr baseColWidth="10" defaultRowHeight="12.75" x14ac:dyDescent="0.2"/>
  <cols>
    <col min="1" max="1" width="25.140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</cols>
  <sheetData>
    <row r="1" spans="1:14" ht="51.75" customHeight="1" thickBot="1" x14ac:dyDescent="0.25"/>
    <row r="2" spans="1:14" ht="12.75" customHeight="1" x14ac:dyDescent="0.2">
      <c r="A2" s="246" t="s">
        <v>104</v>
      </c>
      <c r="B2" s="247"/>
      <c r="C2" s="247"/>
      <c r="D2" s="247"/>
      <c r="E2" s="247"/>
      <c r="F2" s="247"/>
      <c r="G2" s="247"/>
      <c r="H2" s="248"/>
      <c r="I2" s="14"/>
      <c r="J2" s="249" t="s">
        <v>102</v>
      </c>
      <c r="K2" s="249"/>
      <c r="L2" s="249"/>
    </row>
    <row r="3" spans="1:14" ht="13.5" customHeight="1" thickBot="1" x14ac:dyDescent="0.25">
      <c r="A3" s="235" t="s">
        <v>126</v>
      </c>
      <c r="B3" s="236"/>
      <c r="C3" s="236"/>
      <c r="D3" s="236"/>
      <c r="E3" s="236"/>
      <c r="F3" s="236"/>
      <c r="G3" s="236"/>
      <c r="H3" s="237"/>
      <c r="I3" s="14"/>
      <c r="J3" s="250"/>
      <c r="K3" s="250"/>
      <c r="L3" s="250"/>
    </row>
    <row r="4" spans="1:14" ht="93.75" customHeight="1" thickBot="1" x14ac:dyDescent="0.25">
      <c r="A4" s="1" t="s">
        <v>20</v>
      </c>
      <c r="B4" s="2" t="s">
        <v>117</v>
      </c>
      <c r="C4" s="218" t="str">
        <f>'EJE INGRESOS'!D6</f>
        <v>ADICIÓN SEG RESOLUCION(013369-MINEDUCACIÓN) Y ACUERDOS</v>
      </c>
      <c r="D4" s="228" t="s">
        <v>122</v>
      </c>
      <c r="E4" s="2" t="s">
        <v>118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</row>
    <row r="5" spans="1:14" ht="13.5" thickBot="1" x14ac:dyDescent="0.25">
      <c r="A5" s="4" t="s">
        <v>25</v>
      </c>
      <c r="B5" s="5">
        <v>5120521896</v>
      </c>
      <c r="C5" s="5">
        <v>892880487</v>
      </c>
      <c r="D5" s="5">
        <v>0</v>
      </c>
      <c r="E5" s="5">
        <f>B5+C5-D5</f>
        <v>6013402383</v>
      </c>
      <c r="F5" s="5">
        <v>2479147585</v>
      </c>
      <c r="G5" s="5">
        <v>2007883032</v>
      </c>
      <c r="H5" s="5">
        <v>1964009090</v>
      </c>
      <c r="J5" s="214">
        <f>F5/E5</f>
        <v>0.41227036328195765</v>
      </c>
      <c r="K5" s="215">
        <f>G5/E5</f>
        <v>0.3339013264231781</v>
      </c>
      <c r="L5" s="216">
        <f>H5/E5</f>
        <v>0.32660530011300926</v>
      </c>
      <c r="M5" s="45"/>
      <c r="N5" s="45"/>
    </row>
    <row r="6" spans="1:14" ht="13.5" thickBot="1" x14ac:dyDescent="0.25">
      <c r="A6" s="6" t="s">
        <v>27</v>
      </c>
      <c r="B6" s="7">
        <v>2487452756</v>
      </c>
      <c r="C6" s="7">
        <v>2113628009</v>
      </c>
      <c r="D6" s="7"/>
      <c r="E6" s="5">
        <f>B6+C6-D6</f>
        <v>4601080765</v>
      </c>
      <c r="F6" s="7">
        <v>2002906337</v>
      </c>
      <c r="G6" s="7">
        <v>1140113466</v>
      </c>
      <c r="H6" s="7">
        <v>1082617811</v>
      </c>
      <c r="J6" s="214">
        <f>F6/E6</f>
        <v>0.43531214497166082</v>
      </c>
      <c r="K6" s="215">
        <f>G6/E6</f>
        <v>0.2477925348915278</v>
      </c>
      <c r="L6" s="216">
        <f>H6/E6</f>
        <v>0.23529641540643551</v>
      </c>
      <c r="M6" s="45"/>
      <c r="N6" s="45"/>
    </row>
    <row r="7" spans="1:14" ht="13.5" thickBot="1" x14ac:dyDescent="0.25">
      <c r="A7" s="8" t="s">
        <v>89</v>
      </c>
      <c r="B7" s="201">
        <f>+SUM(B5:B6)</f>
        <v>7607974652</v>
      </c>
      <c r="C7" s="203">
        <f>+SUM(C5:C6)</f>
        <v>3006508496</v>
      </c>
      <c r="D7" s="233">
        <f>D5+D6</f>
        <v>0</v>
      </c>
      <c r="E7" s="204">
        <f>SUM(E5:E6)</f>
        <v>10614483148</v>
      </c>
      <c r="F7" s="202">
        <f>+SUM(F5:F6)</f>
        <v>4482053922</v>
      </c>
      <c r="G7" s="9">
        <f>+SUM(G5:G6)</f>
        <v>3147996498</v>
      </c>
      <c r="H7" s="9">
        <f>+SUM(H5:H6)</f>
        <v>3046626901</v>
      </c>
      <c r="J7" s="183">
        <f>F7/E7</f>
        <v>0.42225832944532177</v>
      </c>
      <c r="K7" s="184">
        <f>G7/B7</f>
        <v>0.41377589200727005</v>
      </c>
      <c r="L7" s="185">
        <f>H7/E7</f>
        <v>0.28702545932008483</v>
      </c>
      <c r="M7" s="45"/>
      <c r="N7" s="45"/>
    </row>
  </sheetData>
  <mergeCells count="3">
    <mergeCell ref="A3:H3"/>
    <mergeCell ref="A2:H2"/>
    <mergeCell ref="J2:L3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tabSelected="1" zoomScale="93" zoomScaleNormal="93" workbookViewId="0">
      <selection activeCell="E11" sqref="E11"/>
    </sheetView>
  </sheetViews>
  <sheetFormatPr baseColWidth="10" defaultRowHeight="12.75" x14ac:dyDescent="0.2"/>
  <cols>
    <col min="1" max="1" width="18.85546875" customWidth="1"/>
    <col min="2" max="2" width="23.7109375" bestFit="1" customWidth="1"/>
    <col min="3" max="4" width="18.7109375" customWidth="1"/>
    <col min="5" max="5" width="17.28515625" customWidth="1"/>
    <col min="6" max="6" width="14.140625" bestFit="1" customWidth="1"/>
    <col min="7" max="8" width="13.7109375" bestFit="1" customWidth="1"/>
    <col min="10" max="10" width="14.7109375" customWidth="1"/>
    <col min="11" max="11" width="14.5703125" customWidth="1"/>
    <col min="12" max="12" width="13.28515625" customWidth="1"/>
    <col min="14" max="15" width="12.7109375" bestFit="1" customWidth="1"/>
  </cols>
  <sheetData>
    <row r="1" spans="1:15" ht="48.75" customHeight="1" x14ac:dyDescent="0.2"/>
    <row r="2" spans="1:15" ht="12.75" customHeight="1" x14ac:dyDescent="0.2">
      <c r="A2" s="251" t="s">
        <v>103</v>
      </c>
      <c r="B2" s="251"/>
      <c r="C2" s="251"/>
      <c r="D2" s="251"/>
      <c r="E2" s="251"/>
      <c r="F2" s="251"/>
      <c r="G2" s="251"/>
      <c r="H2" s="251"/>
      <c r="I2" s="14"/>
      <c r="J2" s="14"/>
      <c r="K2" s="14"/>
    </row>
    <row r="3" spans="1:15" ht="24.75" customHeight="1" thickBot="1" x14ac:dyDescent="0.25">
      <c r="A3" s="235" t="s">
        <v>126</v>
      </c>
      <c r="B3" s="236"/>
      <c r="C3" s="236"/>
      <c r="D3" s="236"/>
      <c r="E3" s="236"/>
      <c r="F3" s="236"/>
      <c r="G3" s="236"/>
      <c r="H3" s="237"/>
      <c r="I3" s="14"/>
      <c r="J3" s="14"/>
      <c r="K3" s="14"/>
    </row>
    <row r="4" spans="1:15" ht="105" customHeight="1" thickBot="1" x14ac:dyDescent="0.25">
      <c r="A4" s="1" t="s">
        <v>20</v>
      </c>
      <c r="B4" s="2" t="s">
        <v>117</v>
      </c>
      <c r="C4" s="217" t="str">
        <f>'EJE INGRESOS'!D6</f>
        <v>ADICIÓN SEG RESOLUCION(013369-MINEDUCACIÓN) Y ACUERDOS</v>
      </c>
      <c r="D4" s="228" t="s">
        <v>122</v>
      </c>
      <c r="E4" s="2" t="s">
        <v>118</v>
      </c>
      <c r="F4" s="3" t="s">
        <v>22</v>
      </c>
      <c r="G4" s="3" t="s">
        <v>23</v>
      </c>
      <c r="H4" s="3" t="s">
        <v>24</v>
      </c>
      <c r="I4" s="14"/>
      <c r="J4" s="151" t="s">
        <v>22</v>
      </c>
      <c r="K4" s="152" t="s">
        <v>23</v>
      </c>
      <c r="L4" s="153" t="s">
        <v>24</v>
      </c>
    </row>
    <row r="5" spans="1:15" s="220" customFormat="1" ht="24.75" thickBot="1" x14ac:dyDescent="0.25">
      <c r="A5" s="4" t="s">
        <v>31</v>
      </c>
      <c r="B5" s="5">
        <v>2324325611</v>
      </c>
      <c r="C5" s="234">
        <v>892880487</v>
      </c>
      <c r="D5" s="5">
        <v>0</v>
      </c>
      <c r="E5" s="234">
        <f>B5+C5-D5</f>
        <v>3217206098</v>
      </c>
      <c r="F5" s="5">
        <v>1518673145</v>
      </c>
      <c r="G5" s="5">
        <v>1420140978</v>
      </c>
      <c r="H5" s="5">
        <v>1392954490</v>
      </c>
      <c r="I5" s="14"/>
      <c r="J5" s="214">
        <f>F5/E5</f>
        <v>0.47204720454312654</v>
      </c>
      <c r="K5" s="214">
        <f>G5/E5</f>
        <v>0.44142057883168911</v>
      </c>
      <c r="L5" s="214">
        <f>H5/E5</f>
        <v>0.43297023801675016</v>
      </c>
      <c r="N5" s="221"/>
      <c r="O5" s="221"/>
    </row>
    <row r="6" spans="1:15" ht="24.75" thickBot="1" x14ac:dyDescent="0.25">
      <c r="A6" s="4" t="s">
        <v>112</v>
      </c>
      <c r="B6" s="5">
        <v>1097796978</v>
      </c>
      <c r="C6" s="5">
        <v>0</v>
      </c>
      <c r="D6" s="5">
        <v>0</v>
      </c>
      <c r="E6" s="5">
        <f t="shared" ref="E6:E8" si="0">B6+C6-D6</f>
        <v>1097796978</v>
      </c>
      <c r="F6" s="5">
        <v>916686758</v>
      </c>
      <c r="G6" s="5">
        <v>576084330</v>
      </c>
      <c r="H6" s="5">
        <v>559396876</v>
      </c>
      <c r="I6" s="14"/>
      <c r="J6" s="214">
        <f>F6/E6</f>
        <v>0.8350239401005165</v>
      </c>
      <c r="K6" s="214">
        <f>G6/E6</f>
        <v>0.52476399693641718</v>
      </c>
      <c r="L6" s="214">
        <f>H6/E6</f>
        <v>0.50956314073584563</v>
      </c>
      <c r="N6" s="45"/>
    </row>
    <row r="7" spans="1:15" ht="24.75" thickBot="1" x14ac:dyDescent="0.25">
      <c r="A7" s="4" t="s">
        <v>111</v>
      </c>
      <c r="B7" s="5">
        <v>1698399307</v>
      </c>
      <c r="C7" s="5">
        <v>0</v>
      </c>
      <c r="D7" s="5">
        <v>0</v>
      </c>
      <c r="E7" s="5">
        <f t="shared" si="0"/>
        <v>1698399307</v>
      </c>
      <c r="F7" s="5">
        <v>43787682</v>
      </c>
      <c r="G7" s="5">
        <v>11657724</v>
      </c>
      <c r="H7" s="5">
        <v>11657724</v>
      </c>
      <c r="I7" s="14"/>
      <c r="J7" s="214">
        <f>F7/E7</f>
        <v>2.5781735672834916E-2</v>
      </c>
      <c r="K7" s="214">
        <f>G7/E7</f>
        <v>6.8639476900116281E-3</v>
      </c>
      <c r="L7" s="214">
        <f>H7/E7</f>
        <v>6.8639476900116281E-3</v>
      </c>
      <c r="N7" s="45"/>
    </row>
    <row r="8" spans="1:15" ht="48.75" hidden="1" thickBot="1" x14ac:dyDescent="0.25">
      <c r="A8" s="6" t="s">
        <v>120</v>
      </c>
      <c r="B8" s="7">
        <v>0</v>
      </c>
      <c r="C8" s="7">
        <v>0</v>
      </c>
      <c r="D8" s="7">
        <v>0</v>
      </c>
      <c r="E8" s="5">
        <f t="shared" si="0"/>
        <v>0</v>
      </c>
      <c r="F8" s="7">
        <v>0</v>
      </c>
      <c r="G8" s="7">
        <v>0</v>
      </c>
      <c r="H8" s="7">
        <v>0</v>
      </c>
      <c r="I8" s="14"/>
      <c r="J8" s="214" t="e">
        <f>F8/E8</f>
        <v>#DIV/0!</v>
      </c>
      <c r="K8" s="214" t="e">
        <f>G8/E8</f>
        <v>#DIV/0!</v>
      </c>
      <c r="L8" s="214" t="e">
        <f>H8/E8</f>
        <v>#DIV/0!</v>
      </c>
      <c r="N8" s="45"/>
    </row>
    <row r="9" spans="1:15" ht="13.5" thickBot="1" x14ac:dyDescent="0.25">
      <c r="A9" s="6" t="s">
        <v>27</v>
      </c>
      <c r="B9" s="7">
        <f>'EJE DE FUNCIONAMIENTO E INVERSI'!B6</f>
        <v>2487452756</v>
      </c>
      <c r="C9" s="7">
        <f>'EJE DE FUNCIONAMIENTO E INVERSI'!C6</f>
        <v>2113628009</v>
      </c>
      <c r="D9" s="7">
        <v>0</v>
      </c>
      <c r="E9" s="7">
        <f>'EJE DE FUNCIONAMIENTO E INVERSI'!E6</f>
        <v>4601080765</v>
      </c>
      <c r="F9" s="7">
        <f>'EJE DE FUNCIONAMIENTO E INVERSI'!F6</f>
        <v>2002906337</v>
      </c>
      <c r="G9" s="7">
        <f>'EJE DE FUNCIONAMIENTO E INVERSI'!G6</f>
        <v>1140113466</v>
      </c>
      <c r="H9" s="7">
        <f>'EJE DE FUNCIONAMIENTO E INVERSI'!H6</f>
        <v>1082617811</v>
      </c>
      <c r="I9" s="14"/>
      <c r="J9" s="214">
        <f>F9/E9</f>
        <v>0.43531214497166082</v>
      </c>
      <c r="K9" s="214">
        <f>G9/E9</f>
        <v>0.2477925348915278</v>
      </c>
      <c r="L9" s="214">
        <f>H9/E9</f>
        <v>0.23529641540643551</v>
      </c>
      <c r="M9" s="45"/>
      <c r="N9" s="45"/>
      <c r="O9" s="45"/>
    </row>
    <row r="10" spans="1:15" ht="13.5" hidden="1" thickBot="1" x14ac:dyDescent="0.25">
      <c r="A10" s="4" t="s">
        <v>26</v>
      </c>
      <c r="B10" s="5">
        <v>0</v>
      </c>
      <c r="C10" s="5"/>
      <c r="D10" s="5"/>
      <c r="E10" s="5"/>
      <c r="F10" s="5">
        <v>0</v>
      </c>
      <c r="G10" s="5">
        <v>0</v>
      </c>
      <c r="H10" s="5">
        <v>0</v>
      </c>
      <c r="I10" s="14"/>
      <c r="J10" s="183" t="e">
        <f t="shared" ref="J10" si="1">F10/E10</f>
        <v>#DIV/0!</v>
      </c>
      <c r="K10" s="183" t="e">
        <f t="shared" ref="K10" si="2">G10/E10</f>
        <v>#DIV/0!</v>
      </c>
      <c r="L10" s="183" t="e">
        <f t="shared" ref="L10" si="3">H10/E10</f>
        <v>#DIV/0!</v>
      </c>
    </row>
    <row r="11" spans="1:15" ht="13.5" thickBot="1" x14ac:dyDescent="0.25">
      <c r="A11" s="8" t="s">
        <v>89</v>
      </c>
      <c r="B11" s="9">
        <f>+SUM(B5:B10)</f>
        <v>7607974652</v>
      </c>
      <c r="C11" s="9">
        <f>+SUM(C5:C10)</f>
        <v>3006508496</v>
      </c>
      <c r="D11" s="9">
        <f>D5+D6+D7+D8+D9</f>
        <v>0</v>
      </c>
      <c r="E11" s="9">
        <f t="shared" ref="E11" si="4">+SUM(E5:E10)</f>
        <v>10614483148</v>
      </c>
      <c r="F11" s="9">
        <f>+SUM(F5:F10)</f>
        <v>4482053922</v>
      </c>
      <c r="G11" s="9">
        <f>+SUM(G5:G10)</f>
        <v>3147996498</v>
      </c>
      <c r="H11" s="9">
        <f>+SUM(H5:H10)</f>
        <v>3046626901</v>
      </c>
      <c r="I11" s="14"/>
      <c r="J11" s="183">
        <f>F11/E11</f>
        <v>0.42225832944532177</v>
      </c>
      <c r="K11" s="183">
        <f>G11/E11</f>
        <v>0.29657558018669533</v>
      </c>
      <c r="L11" s="183">
        <f>H11/E11</f>
        <v>0.28702545932008483</v>
      </c>
    </row>
    <row r="12" spans="1:15" x14ac:dyDescent="0.2">
      <c r="C12" s="45"/>
      <c r="I12" s="14"/>
      <c r="J12" s="14"/>
      <c r="K12" s="14"/>
    </row>
    <row r="18" spans="15:15" x14ac:dyDescent="0.2">
      <c r="O18" s="45"/>
    </row>
  </sheetData>
  <mergeCells count="2">
    <mergeCell ref="A3:H3"/>
    <mergeCell ref="A2:H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52" t="s">
        <v>19</v>
      </c>
      <c r="B2" s="253"/>
      <c r="C2" s="253"/>
      <c r="D2" s="253"/>
    </row>
    <row r="3" spans="1:4" ht="27" customHeight="1" x14ac:dyDescent="0.25">
      <c r="A3" s="253"/>
      <c r="B3" s="253"/>
      <c r="C3" s="253"/>
      <c r="D3" s="253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topLeftCell="A4" workbookViewId="0">
      <selection activeCell="B17" sqref="B17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54" t="s">
        <v>127</v>
      </c>
      <c r="B4" s="255"/>
      <c r="C4" s="255"/>
      <c r="D4" s="255"/>
      <c r="E4" s="256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f>193693800+74406707</f>
        <v>268100507</v>
      </c>
      <c r="C6" s="30">
        <v>114877204</v>
      </c>
      <c r="D6" s="31">
        <f>+B6/$B$17</f>
        <v>8.333333297069985E-2</v>
      </c>
      <c r="E6" s="178">
        <f>+C6/$B$17</f>
        <v>3.5707132369111903E-2</v>
      </c>
    </row>
    <row r="7" spans="1:5" x14ac:dyDescent="0.2">
      <c r="A7" s="22" t="s">
        <v>7</v>
      </c>
      <c r="B7" s="19">
        <f>+$B$6*2</f>
        <v>536201014</v>
      </c>
      <c r="C7" s="19">
        <v>265066370</v>
      </c>
      <c r="D7" s="20">
        <f t="shared" ref="D7:D17" si="0">+B7/$B$17</f>
        <v>0.1666666659413997</v>
      </c>
      <c r="E7" s="180">
        <f t="shared" ref="E7:E17" si="1">+C7/$B$17</f>
        <v>8.2390236101063122E-2</v>
      </c>
    </row>
    <row r="8" spans="1:5" x14ac:dyDescent="0.2">
      <c r="A8" s="22" t="s">
        <v>8</v>
      </c>
      <c r="B8" s="19">
        <f>+$B$6*3</f>
        <v>804301521</v>
      </c>
      <c r="C8" s="19">
        <v>485514291</v>
      </c>
      <c r="D8" s="20">
        <f t="shared" si="0"/>
        <v>0.24999999891209954</v>
      </c>
      <c r="E8" s="180">
        <f t="shared" si="1"/>
        <v>0.15091177755190244</v>
      </c>
    </row>
    <row r="9" spans="1:5" x14ac:dyDescent="0.2">
      <c r="A9" s="22" t="s">
        <v>9</v>
      </c>
      <c r="B9" s="19">
        <f>+$B$6*4</f>
        <v>1072402028</v>
      </c>
      <c r="C9" s="19">
        <v>729003068</v>
      </c>
      <c r="D9" s="20">
        <f t="shared" si="0"/>
        <v>0.3333333318827994</v>
      </c>
      <c r="E9" s="180">
        <f t="shared" si="1"/>
        <v>0.22659507839836251</v>
      </c>
    </row>
    <row r="10" spans="1:5" x14ac:dyDescent="0.2">
      <c r="A10" s="22" t="s">
        <v>10</v>
      </c>
      <c r="B10" s="19">
        <f>+$B$6*5</f>
        <v>1340502535</v>
      </c>
      <c r="C10" s="19">
        <v>974149988</v>
      </c>
      <c r="D10" s="20">
        <f t="shared" si="0"/>
        <v>0.41666666485349924</v>
      </c>
      <c r="E10" s="180">
        <f t="shared" si="1"/>
        <v>0.30279377768355825</v>
      </c>
    </row>
    <row r="11" spans="1:5" x14ac:dyDescent="0.2">
      <c r="A11" s="22" t="s">
        <v>11</v>
      </c>
      <c r="B11" s="19">
        <f>+$B$6*6</f>
        <v>1608603042</v>
      </c>
      <c r="C11" s="19">
        <v>1261531781</v>
      </c>
      <c r="D11" s="20">
        <f t="shared" si="0"/>
        <v>0.49999999782419907</v>
      </c>
      <c r="E11" s="180">
        <f t="shared" si="1"/>
        <v>0.3921202877814513</v>
      </c>
    </row>
    <row r="12" spans="1:5" x14ac:dyDescent="0.2">
      <c r="A12" s="22" t="s">
        <v>12</v>
      </c>
      <c r="B12" s="19">
        <f>+$B$6*7</f>
        <v>1876703549</v>
      </c>
      <c r="C12" s="19">
        <v>1420140978</v>
      </c>
      <c r="D12" s="20">
        <f t="shared" si="0"/>
        <v>0.58333333079489891</v>
      </c>
      <c r="E12" s="180">
        <f t="shared" si="1"/>
        <v>0.44142057883168911</v>
      </c>
    </row>
    <row r="13" spans="1:5" x14ac:dyDescent="0.2">
      <c r="A13" s="22" t="s">
        <v>13</v>
      </c>
      <c r="B13" s="19">
        <f>+$B$6*8</f>
        <v>2144804056</v>
      </c>
      <c r="C13" s="19">
        <v>0</v>
      </c>
      <c r="D13" s="20">
        <f t="shared" si="0"/>
        <v>0.6666666637655988</v>
      </c>
      <c r="E13" s="180">
        <f t="shared" si="1"/>
        <v>0</v>
      </c>
    </row>
    <row r="14" spans="1:5" x14ac:dyDescent="0.2">
      <c r="A14" s="22" t="s">
        <v>14</v>
      </c>
      <c r="B14" s="19">
        <f>+$B$6*9</f>
        <v>2412904563</v>
      </c>
      <c r="C14" s="19">
        <v>0</v>
      </c>
      <c r="D14" s="20">
        <f t="shared" si="0"/>
        <v>0.74999999673629858</v>
      </c>
      <c r="E14" s="180">
        <f t="shared" si="1"/>
        <v>0</v>
      </c>
    </row>
    <row r="15" spans="1:5" x14ac:dyDescent="0.2">
      <c r="A15" s="22" t="s">
        <v>15</v>
      </c>
      <c r="B15" s="19">
        <f>+$B$6*10</f>
        <v>2681005070</v>
      </c>
      <c r="C15" s="19">
        <v>0</v>
      </c>
      <c r="D15" s="20">
        <f t="shared" si="0"/>
        <v>0.83333332970699847</v>
      </c>
      <c r="E15" s="180">
        <f t="shared" si="1"/>
        <v>0</v>
      </c>
    </row>
    <row r="16" spans="1:5" x14ac:dyDescent="0.2">
      <c r="A16" s="22" t="s">
        <v>16</v>
      </c>
      <c r="B16" s="19">
        <f>+$B$6*11</f>
        <v>2949105577</v>
      </c>
      <c r="C16" s="222">
        <v>0</v>
      </c>
      <c r="D16" s="20">
        <f t="shared" si="0"/>
        <v>0.91666666267769825</v>
      </c>
      <c r="E16" s="180">
        <f t="shared" si="1"/>
        <v>0</v>
      </c>
    </row>
    <row r="17" spans="1:5" ht="13.5" thickBot="1" x14ac:dyDescent="0.25">
      <c r="A17" s="24" t="s">
        <v>17</v>
      </c>
      <c r="B17" s="25">
        <f>+$B$6*12+14</f>
        <v>3217206098</v>
      </c>
      <c r="C17" s="25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200"/>
    </row>
    <row r="19" spans="1:5" x14ac:dyDescent="0.2">
      <c r="B19" s="13"/>
      <c r="C19" s="198"/>
      <c r="D19" s="198"/>
    </row>
    <row r="20" spans="1:5" x14ac:dyDescent="0.2">
      <c r="A20" s="200"/>
      <c r="B20" s="13"/>
    </row>
    <row r="21" spans="1:5" x14ac:dyDescent="0.2">
      <c r="B21" s="13"/>
      <c r="C21" s="198"/>
      <c r="D21" s="199"/>
    </row>
    <row r="22" spans="1:5" x14ac:dyDescent="0.2">
      <c r="B22" s="13"/>
      <c r="D22" s="200"/>
    </row>
    <row r="23" spans="1:5" x14ac:dyDescent="0.2">
      <c r="B23" s="13"/>
      <c r="D23" s="200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1"/>
  <sheetViews>
    <sheetView topLeftCell="A4" workbookViewId="0">
      <selection activeCell="D6" sqref="D6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57" t="s">
        <v>128</v>
      </c>
      <c r="B4" s="258"/>
      <c r="C4" s="258"/>
      <c r="D4" s="258"/>
      <c r="E4" s="25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2">
        <v>91483082</v>
      </c>
      <c r="C6" s="21">
        <v>5431297</v>
      </c>
      <c r="D6" s="20">
        <f>+B6/$B$17</f>
        <v>8.3333333788790959E-2</v>
      </c>
      <c r="E6" s="180">
        <f>+C6/$B$17</f>
        <v>4.947451221713966E-3</v>
      </c>
    </row>
    <row r="7" spans="1:5" x14ac:dyDescent="0.2">
      <c r="A7" s="22" t="s">
        <v>7</v>
      </c>
      <c r="B7" s="192">
        <f>+$B$6*2</f>
        <v>182966164</v>
      </c>
      <c r="C7" s="21">
        <v>87297402</v>
      </c>
      <c r="D7" s="20">
        <f t="shared" ref="D7:D17" si="0">+B7/$B$17</f>
        <v>0.16666666757758192</v>
      </c>
      <c r="E7" s="180">
        <f t="shared" ref="E7:E17" si="1">+C7/$B$17</f>
        <v>7.9520534078205488E-2</v>
      </c>
    </row>
    <row r="8" spans="1:5" x14ac:dyDescent="0.2">
      <c r="A8" s="22" t="s">
        <v>8</v>
      </c>
      <c r="B8" s="192">
        <f>+$B$6*3</f>
        <v>274449246</v>
      </c>
      <c r="C8" s="21">
        <v>222939039</v>
      </c>
      <c r="D8" s="20">
        <f t="shared" si="0"/>
        <v>0.25000000136637285</v>
      </c>
      <c r="E8" s="180">
        <f t="shared" si="1"/>
        <v>0.20307856868594878</v>
      </c>
    </row>
    <row r="9" spans="1:5" x14ac:dyDescent="0.2">
      <c r="A9" s="22" t="s">
        <v>9</v>
      </c>
      <c r="B9" s="192">
        <f>+$B$6*4</f>
        <v>365932328</v>
      </c>
      <c r="C9" s="21">
        <v>314426192</v>
      </c>
      <c r="D9" s="20">
        <f t="shared" si="0"/>
        <v>0.33333333515516383</v>
      </c>
      <c r="E9" s="180">
        <f t="shared" si="1"/>
        <v>0.28641561081069034</v>
      </c>
    </row>
    <row r="10" spans="1:5" x14ac:dyDescent="0.2">
      <c r="A10" s="22" t="s">
        <v>10</v>
      </c>
      <c r="B10" s="192">
        <f>+$B$6*5</f>
        <v>457415410</v>
      </c>
      <c r="C10" s="21">
        <v>377279300</v>
      </c>
      <c r="D10" s="20">
        <f t="shared" si="0"/>
        <v>0.41666666894395477</v>
      </c>
      <c r="E10" s="180">
        <f t="shared" si="1"/>
        <v>0.34366946490173339</v>
      </c>
    </row>
    <row r="11" spans="1:5" x14ac:dyDescent="0.2">
      <c r="A11" s="22" t="s">
        <v>11</v>
      </c>
      <c r="B11" s="192">
        <f>+$B$6*6</f>
        <v>548898492</v>
      </c>
      <c r="C11" s="21">
        <v>498871697</v>
      </c>
      <c r="D11" s="20">
        <f t="shared" si="0"/>
        <v>0.5000000027327457</v>
      </c>
      <c r="E11" s="180">
        <f t="shared" si="1"/>
        <v>0.45442983265344716</v>
      </c>
    </row>
    <row r="12" spans="1:5" x14ac:dyDescent="0.2">
      <c r="A12" s="22" t="s">
        <v>12</v>
      </c>
      <c r="B12" s="192">
        <f>+$B$6*7</f>
        <v>640381574</v>
      </c>
      <c r="C12" s="21">
        <v>576084330</v>
      </c>
      <c r="D12" s="20">
        <f t="shared" si="0"/>
        <v>0.58333333652153663</v>
      </c>
      <c r="E12" s="180">
        <f t="shared" si="1"/>
        <v>0.52476399693641718</v>
      </c>
    </row>
    <row r="13" spans="1:5" x14ac:dyDescent="0.2">
      <c r="A13" s="22" t="s">
        <v>13</v>
      </c>
      <c r="B13" s="192">
        <f>+$B$6*8</f>
        <v>731864656</v>
      </c>
      <c r="C13" s="21">
        <v>0</v>
      </c>
      <c r="D13" s="20">
        <f t="shared" si="0"/>
        <v>0.66666667031032767</v>
      </c>
      <c r="E13" s="180">
        <f t="shared" si="1"/>
        <v>0</v>
      </c>
    </row>
    <row r="14" spans="1:5" x14ac:dyDescent="0.2">
      <c r="A14" s="22" t="s">
        <v>14</v>
      </c>
      <c r="B14" s="192">
        <f>+$B$6*9</f>
        <v>823347738</v>
      </c>
      <c r="C14" s="21">
        <v>0</v>
      </c>
      <c r="D14" s="20">
        <f t="shared" si="0"/>
        <v>0.7500000040991186</v>
      </c>
      <c r="E14" s="180">
        <f t="shared" si="1"/>
        <v>0</v>
      </c>
    </row>
    <row r="15" spans="1:5" x14ac:dyDescent="0.2">
      <c r="A15" s="38" t="s">
        <v>15</v>
      </c>
      <c r="B15" s="192">
        <f>+$B$6*10</f>
        <v>914830820</v>
      </c>
      <c r="C15" s="21">
        <v>0</v>
      </c>
      <c r="D15" s="20">
        <f t="shared" si="0"/>
        <v>0.83333333788790953</v>
      </c>
      <c r="E15" s="180">
        <f t="shared" si="1"/>
        <v>0</v>
      </c>
    </row>
    <row r="16" spans="1:5" x14ac:dyDescent="0.2">
      <c r="A16" s="38" t="s">
        <v>16</v>
      </c>
      <c r="B16" s="192">
        <f>+$B$6*11</f>
        <v>1006313902</v>
      </c>
      <c r="C16" s="21">
        <v>0</v>
      </c>
      <c r="D16" s="20">
        <f t="shared" si="0"/>
        <v>0.91666667167670046</v>
      </c>
      <c r="E16" s="180">
        <f t="shared" si="1"/>
        <v>0</v>
      </c>
    </row>
    <row r="17" spans="1:5" ht="13.5" thickBot="1" x14ac:dyDescent="0.25">
      <c r="A17" s="39" t="s">
        <v>17</v>
      </c>
      <c r="B17" s="224">
        <f>+$B$6*12-6</f>
        <v>1097796978</v>
      </c>
      <c r="C17" s="26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199"/>
    </row>
    <row r="19" spans="1:5" x14ac:dyDescent="0.2">
      <c r="B19" s="13">
        <f>'EJECUCIÓN DE GASTOS'!E6/12</f>
        <v>91483081.5</v>
      </c>
      <c r="C19" s="223"/>
      <c r="D19" s="198"/>
    </row>
    <row r="20" spans="1:5" x14ac:dyDescent="0.2">
      <c r="B20" s="13"/>
      <c r="C20" s="223"/>
    </row>
    <row r="21" spans="1:5" x14ac:dyDescent="0.2">
      <c r="B21" s="13">
        <f>B17-1097796978</f>
        <v>0</v>
      </c>
      <c r="C21" s="198"/>
      <c r="D21" s="199"/>
    </row>
    <row r="22" spans="1:5" x14ac:dyDescent="0.2">
      <c r="B22" s="13"/>
      <c r="D22" s="199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57" t="s">
        <v>33</v>
      </c>
      <c r="B4" s="258"/>
      <c r="C4" s="258"/>
      <c r="D4" s="258"/>
      <c r="E4" s="259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57" t="s">
        <v>34</v>
      </c>
      <c r="B5" s="258"/>
      <c r="C5" s="258"/>
      <c r="D5" s="258"/>
      <c r="E5" s="259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JEFE PRESUPUESTO</cp:lastModifiedBy>
  <cp:lastPrinted>2018-02-23T20:54:10Z</cp:lastPrinted>
  <dcterms:created xsi:type="dcterms:W3CDTF">2015-09-23T21:56:21Z</dcterms:created>
  <dcterms:modified xsi:type="dcterms:W3CDTF">2022-08-02T21:06:12Z</dcterms:modified>
</cp:coreProperties>
</file>